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360" yWindow="15" windowWidth="11340" windowHeight="6540" tabRatio="840"/>
  </bookViews>
  <sheets>
    <sheet name="Data Entry" sheetId="1" r:id="rId1"/>
    <sheet name="Income Statement" sheetId="6" r:id="rId2"/>
    <sheet name="Balance Sheet" sheetId="7" r:id="rId3"/>
    <sheet name="Cash Flow Statement" sheetId="2" r:id="rId4"/>
    <sheet name="Cash Flow Projections" sheetId="8" r:id="rId5"/>
    <sheet name="Data Chart" sheetId="3" r:id="rId6"/>
    <sheet name="Asset Chart" sheetId="4" r:id="rId7"/>
    <sheet name="Income Chart" sheetId="5" r:id="rId8"/>
  </sheets>
  <externalReferences>
    <externalReference r:id="rId9"/>
  </externalReferences>
  <definedNames>
    <definedName name="__IntlFixup">TRUE</definedName>
    <definedName name="__IntlFixupTable" hidden="1">#REF!</definedName>
    <definedName name="_Order1" hidden="1">0</definedName>
    <definedName name="AA.Report.Files" hidden="1">#REF!</definedName>
    <definedName name="AA.Reports.Available" hidden="1">#REF!</definedName>
    <definedName name="Data.Dump">OFFSET([0]!Data.Top.Left,1,0)</definedName>
    <definedName name="DATA_01" hidden="1">'[1]Sales Seasonality by Month'!$B$4</definedName>
    <definedName name="DATA_02" hidden="1">'[1]Sales Seasonality by Month'!$B$9</definedName>
    <definedName name="DATA_03" hidden="1">'[1]Sales Seasonality by Month'!$C$9:$C$20</definedName>
    <definedName name="DATA_04" hidden="1">'[1]Sales Seasonality by Month'!$F$9:$F$20</definedName>
    <definedName name="data100">'Balance Sheet'!$K$54</definedName>
    <definedName name="data101">'Balance Sheet'!$K$55</definedName>
    <definedName name="data102">'Balance Sheet'!$L$53</definedName>
    <definedName name="data103">'Balance Sheet'!$L$54</definedName>
    <definedName name="data104">'Balance Sheet'!$L$55</definedName>
    <definedName name="data105">'Balance Sheet'!$H$59</definedName>
    <definedName name="data106">'Balance Sheet'!$H$60</definedName>
    <definedName name="data107">'Balance Sheet'!$H$61</definedName>
    <definedName name="data108">'Balance Sheet'!$H$62</definedName>
    <definedName name="data109">'Income Statement'!$H$15</definedName>
    <definedName name="data10ab">'Data Entry'!$J$20</definedName>
    <definedName name="data110">'Income Statement'!$I$15</definedName>
    <definedName name="data111">'Income Statement'!$J$15</definedName>
    <definedName name="data112">'Income Statement'!$K$15</definedName>
    <definedName name="data113">'Income Statement'!$H$24</definedName>
    <definedName name="data114">'Income Statement'!$I$24</definedName>
    <definedName name="data115">'Income Statement'!$J$24</definedName>
    <definedName name="data116">'Income Statement'!$K$24</definedName>
    <definedName name="data117">'Income Statement'!$H$30</definedName>
    <definedName name="data118">'Income Statement'!$H$31</definedName>
    <definedName name="data119">'Income Statement'!$I$30</definedName>
    <definedName name="data11ab">'Data Entry'!$J$21</definedName>
    <definedName name="data120">'Income Statement'!$I$31</definedName>
    <definedName name="data121">'Income Statement'!$J$30</definedName>
    <definedName name="data122">'Income Statement'!$J$31</definedName>
    <definedName name="data123">'Income Statement'!$K$30</definedName>
    <definedName name="data124">'Income Statement'!$K$31</definedName>
    <definedName name="data125">'Income Statement'!$G$37</definedName>
    <definedName name="data126">'Income Statement'!$H$43</definedName>
    <definedName name="data127">'Income Statement'!$I$43</definedName>
    <definedName name="data128">'Income Statement'!$J$43</definedName>
    <definedName name="data129">'Income Statement'!$K$43</definedName>
    <definedName name="data12ab">'Data Entry'!$J$22</definedName>
    <definedName name="data130">'Income Statement'!$H$52</definedName>
    <definedName name="data131">'Income Statement'!$H$53</definedName>
    <definedName name="data132">'Income Statement'!$I$52</definedName>
    <definedName name="data133">'Income Statement'!$I$53</definedName>
    <definedName name="data134">'Income Statement'!$J$52</definedName>
    <definedName name="data135">'Income Statement'!$J$53</definedName>
    <definedName name="data136">'Income Statement'!$K$52</definedName>
    <definedName name="data137">'Income Statement'!$K$53</definedName>
    <definedName name="data138">'Income Statement'!$F$56</definedName>
    <definedName name="data139">'Income Statement'!$F$57</definedName>
    <definedName name="data13ab">'Data Entry'!$J$23</definedName>
    <definedName name="data14ab">'Data Entry'!$J$24</definedName>
    <definedName name="data15ab">'Data Entry'!$K$19</definedName>
    <definedName name="data16ab">'Data Entry'!$K$20</definedName>
    <definedName name="data17ab">'Data Entry'!$K$21</definedName>
    <definedName name="data18ab">'Data Entry'!$K$22</definedName>
    <definedName name="data19ab">'Data Entry'!$K$23</definedName>
    <definedName name="data1ab">'Data Entry'!$G$15</definedName>
    <definedName name="data20ab">'Data Entry'!$K$24</definedName>
    <definedName name="data21ab">'Data Entry'!$L$19</definedName>
    <definedName name="data22ab">'Data Entry'!$L$20</definedName>
    <definedName name="data23ab">'Data Entry'!$L$21</definedName>
    <definedName name="data24ab">'Data Entry'!$L$22</definedName>
    <definedName name="data25ab">'Data Entry'!$L$23</definedName>
    <definedName name="data26">'Data Entry'!$L$24</definedName>
    <definedName name="data27">'Data Entry'!$G$27</definedName>
    <definedName name="data28">'Data Entry'!$G$28</definedName>
    <definedName name="data29">'Data Entry'!$G$29</definedName>
    <definedName name="data2ab">'Data Entry'!$G$16</definedName>
    <definedName name="data30">'Data Entry'!$G$30</definedName>
    <definedName name="data31">'Data Entry'!$G$31</definedName>
    <definedName name="data32">'Data Entry'!$G$32</definedName>
    <definedName name="data33">'Data Entry'!$H$39</definedName>
    <definedName name="data34">'Data Entry'!$I$37</definedName>
    <definedName name="data35">'Data Entry'!$I$38</definedName>
    <definedName name="data36">'Data Entry'!$J$35</definedName>
    <definedName name="data37">'Data Entry'!$J$36</definedName>
    <definedName name="data38">'Data Entry'!$K$35</definedName>
    <definedName name="data39">'Data Entry'!$L$35</definedName>
    <definedName name="data3ab">'Data Entry'!$I$19</definedName>
    <definedName name="data40">'Data Entry'!$L$36</definedName>
    <definedName name="data41">'Balance Sheet'!$H$17</definedName>
    <definedName name="data42">'Balance Sheet'!$H$18</definedName>
    <definedName name="data43">'Balance Sheet'!$H$19</definedName>
    <definedName name="data44">'Balance Sheet'!$H$20</definedName>
    <definedName name="data45">'Balance Sheet'!$I$20</definedName>
    <definedName name="data46">'Balance Sheet'!$J$20</definedName>
    <definedName name="data47">'Balance Sheet'!$K$20</definedName>
    <definedName name="data48">'Balance Sheet'!$L$20</definedName>
    <definedName name="data49">'Balance Sheet'!$H$24</definedName>
    <definedName name="data4ab">'Data Entry'!$I$20</definedName>
    <definedName name="data50">'Balance Sheet'!$H$25</definedName>
    <definedName name="data51">'Balance Sheet'!$H$26</definedName>
    <definedName name="data52">'Balance Sheet'!$I$24</definedName>
    <definedName name="data53">'Balance Sheet'!$I$25</definedName>
    <definedName name="data54">'Balance Sheet'!$I$26</definedName>
    <definedName name="data55">'Balance Sheet'!$J$24</definedName>
    <definedName name="data56">'Balance Sheet'!$J$25</definedName>
    <definedName name="data57">'Balance Sheet'!$J$26</definedName>
    <definedName name="data58">'Balance Sheet'!$K$24</definedName>
    <definedName name="data59">'Balance Sheet'!$K$25</definedName>
    <definedName name="data5ab">'Data Entry'!$I$21</definedName>
    <definedName name="data60">'Balance Sheet'!$K$26</definedName>
    <definedName name="data61">'Balance Sheet'!$L$24</definedName>
    <definedName name="data62">'Balance Sheet'!$L$25</definedName>
    <definedName name="data63">'Balance Sheet'!$L$26</definedName>
    <definedName name="data64">'Balance Sheet'!$H$32</definedName>
    <definedName name="data65">'Balance Sheet'!$H$33</definedName>
    <definedName name="data66">'Balance Sheet'!$I$32</definedName>
    <definedName name="data67">'Balance Sheet'!$I$33</definedName>
    <definedName name="data68">'Balance Sheet'!$J$32</definedName>
    <definedName name="data69">'Balance Sheet'!$J$33</definedName>
    <definedName name="data6ab">'Data Entry'!$I$22</definedName>
    <definedName name="data70">'Balance Sheet'!$K$32</definedName>
    <definedName name="data71">'Balance Sheet'!$K$33</definedName>
    <definedName name="data72">'Balance Sheet'!$L$32</definedName>
    <definedName name="data73">'Balance Sheet'!$L$33</definedName>
    <definedName name="data74">'Balance Sheet'!$H$36</definedName>
    <definedName name="data75">'Balance Sheet'!$I$36</definedName>
    <definedName name="data76">'Balance Sheet'!$J$36</definedName>
    <definedName name="data77">'Balance Sheet'!$K$36</definedName>
    <definedName name="data78">'Balance Sheet'!$L$36</definedName>
    <definedName name="data79">'Balance Sheet'!$H$43</definedName>
    <definedName name="data7ab">'Data Entry'!$I$23</definedName>
    <definedName name="data80">'Balance Sheet'!$H$44</definedName>
    <definedName name="data81">'Balance Sheet'!$H$45</definedName>
    <definedName name="data82">'Balance Sheet'!$H$46</definedName>
    <definedName name="data83">'Balance Sheet'!$H$47</definedName>
    <definedName name="data84">'Balance Sheet'!$H$48</definedName>
    <definedName name="data85">'Balance Sheet'!$I$48</definedName>
    <definedName name="data86">'Balance Sheet'!$J$48</definedName>
    <definedName name="data87">'Balance Sheet'!$K$48</definedName>
    <definedName name="data88">'Balance Sheet'!$L$48</definedName>
    <definedName name="data89">'Balance Sheet'!$H$52</definedName>
    <definedName name="data8ab">'Data Entry'!$I$24</definedName>
    <definedName name="data90">'Balance Sheet'!$H$53</definedName>
    <definedName name="data91">'Balance Sheet'!$H$54</definedName>
    <definedName name="data92">'Balance Sheet'!$H$55</definedName>
    <definedName name="data93">'Balance Sheet'!$I$53</definedName>
    <definedName name="data94">'Balance Sheet'!$I$54</definedName>
    <definedName name="data95">'Balance Sheet'!$I$55</definedName>
    <definedName name="data96">'Balance Sheet'!$J$53</definedName>
    <definedName name="data97">'Balance Sheet'!$J$54</definedName>
    <definedName name="data98">'Balance Sheet'!$J$55</definedName>
    <definedName name="data99">'Balance Sheet'!$K$53</definedName>
    <definedName name="data9ab">'Data Entry'!$J$19</definedName>
    <definedName name="Database.File" hidden="1">#REF!</definedName>
    <definedName name="display_area_2">'Data Entry'!$C$4:$N$43</definedName>
    <definedName name="display_area_3">'Data Chart'!$C$4:$O$37</definedName>
    <definedName name="display_area_4">'Data Entry'!$C$45:$N$47</definedName>
    <definedName name="display_area_5">'Asset Chart'!$C$4:$O$37</definedName>
    <definedName name="display_area_6">'Data Entry'!$C$44:$N$44</definedName>
    <definedName name="display_area_7">'Income Chart'!$C$4:$O$38</definedName>
    <definedName name="display_area_8">'Cash Flow Statement'!$C$4:$O$67</definedName>
    <definedName name="File.Type" hidden="1">#REF!</definedName>
    <definedName name="HTML_CodePage">1252</definedName>
    <definedName name="HTML_Control">{"'Proforma'!$A$1:$J$189"}</definedName>
    <definedName name="HTML_Description">""</definedName>
    <definedName name="HTML_Email">""</definedName>
    <definedName name="HTML_Header">"Proforma"</definedName>
    <definedName name="HTML_LastUpdate">"4/19/99"</definedName>
    <definedName name="HTML_LineAfter">FALSE</definedName>
    <definedName name="HTML_LineBefore">FALSE</definedName>
    <definedName name="HTML_Name">"Frank Vickers"</definedName>
    <definedName name="HTML_OBDlg2">TRUE</definedName>
    <definedName name="HTML_OBDlg4">TRUE</definedName>
    <definedName name="HTML_OS">0</definedName>
    <definedName name="HTML_PathFile">"D:\analysis\MyHTML.htm"</definedName>
    <definedName name="HTML_Title">"proforma3"</definedName>
    <definedName name="Macro1">[0]!Macro1</definedName>
    <definedName name="Macro2">[0]!Macro2</definedName>
    <definedName name="Ownership">OFFSET([0]!Data.Top.Left,1,0)</definedName>
    <definedName name="_xlnm.Print_Area" localSheetId="6">'Asset Chart'!$D$8:$N$31</definedName>
    <definedName name="_xlnm.Print_Area" localSheetId="2">'Balance Sheet'!$C$6:$M$73</definedName>
    <definedName name="_xlnm.Print_Area" localSheetId="4">'Cash Flow Projections'!$D$7:$Q$64</definedName>
    <definedName name="_xlnm.Print_Area" localSheetId="3">'Cash Flow Statement'!$D$7:$N$61</definedName>
    <definedName name="_xlnm.Print_Area" localSheetId="5">'Data Chart'!$D$8:$N$32</definedName>
    <definedName name="_xlnm.Print_Area" localSheetId="0">'Data Entry'!$D$8:$M$43</definedName>
    <definedName name="_xlnm.Print_Area" localSheetId="7">'Income Chart'!$D$7:$N$32</definedName>
    <definedName name="_xlnm.Print_Area" localSheetId="1">'Income Statement'!$C$6:$N$63</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I60" i="7" l="1"/>
  <c r="I52" i="8" s="1"/>
  <c r="I61" i="7"/>
  <c r="J60" i="7"/>
  <c r="J61" i="7"/>
  <c r="J52" i="8" s="1"/>
  <c r="K60" i="7"/>
  <c r="K52" i="2" s="1"/>
  <c r="K61" i="7"/>
  <c r="L60" i="7"/>
  <c r="L61" i="7"/>
  <c r="H64" i="7"/>
  <c r="I43" i="7"/>
  <c r="I27" i="2" s="1"/>
  <c r="I44" i="7"/>
  <c r="I45" i="7"/>
  <c r="H68" i="7"/>
  <c r="E59" i="7" s="1"/>
  <c r="H21" i="7"/>
  <c r="H27" i="7"/>
  <c r="H28" i="7"/>
  <c r="H29" i="7" s="1"/>
  <c r="H34" i="7"/>
  <c r="H49" i="7"/>
  <c r="H57" i="7" s="1"/>
  <c r="H66" i="7" s="1"/>
  <c r="H69" i="7"/>
  <c r="L43" i="7"/>
  <c r="L44" i="7"/>
  <c r="L45" i="7"/>
  <c r="K43" i="7"/>
  <c r="K27" i="8" s="1"/>
  <c r="K44" i="7"/>
  <c r="K45" i="7"/>
  <c r="J43" i="7"/>
  <c r="J27" i="2" s="1"/>
  <c r="J44" i="7"/>
  <c r="J47" i="2" s="1"/>
  <c r="J45" i="7"/>
  <c r="L52" i="7"/>
  <c r="K52" i="7"/>
  <c r="J52" i="7"/>
  <c r="I52" i="7"/>
  <c r="H14" i="7"/>
  <c r="H40" i="7" s="1"/>
  <c r="L34" i="7"/>
  <c r="K34" i="7"/>
  <c r="J34" i="7"/>
  <c r="I34" i="7"/>
  <c r="L27" i="7"/>
  <c r="K27" i="7"/>
  <c r="J27" i="7"/>
  <c r="I27" i="7"/>
  <c r="L18" i="7"/>
  <c r="K18" i="7"/>
  <c r="J18" i="7"/>
  <c r="I18" i="7"/>
  <c r="I18" i="1"/>
  <c r="I40" i="7" s="1"/>
  <c r="J18" i="1"/>
  <c r="J40" i="7" s="1"/>
  <c r="K18" i="1"/>
  <c r="K14" i="7" s="1"/>
  <c r="L18" i="1"/>
  <c r="L14" i="7" s="1"/>
  <c r="I27" i="1"/>
  <c r="I28" i="1"/>
  <c r="I31" i="1"/>
  <c r="I32" i="1"/>
  <c r="J27" i="1"/>
  <c r="J28" i="1"/>
  <c r="J31" i="1"/>
  <c r="J32" i="1"/>
  <c r="L27" i="1"/>
  <c r="L28" i="1"/>
  <c r="L31" i="1"/>
  <c r="L32" i="1"/>
  <c r="K27" i="1"/>
  <c r="K28" i="1"/>
  <c r="K31" i="1"/>
  <c r="K32" i="1"/>
  <c r="J51" i="6"/>
  <c r="K19" i="7" s="1"/>
  <c r="H56" i="6"/>
  <c r="H57" i="6"/>
  <c r="I56" i="6"/>
  <c r="I57" i="6"/>
  <c r="J56" i="6"/>
  <c r="J57" i="6"/>
  <c r="K56" i="6"/>
  <c r="K57" i="6"/>
  <c r="F60" i="6"/>
  <c r="H60" i="6" s="1"/>
  <c r="F61" i="6"/>
  <c r="I61" i="6" s="1"/>
  <c r="H32" i="6"/>
  <c r="H41" i="6"/>
  <c r="I23" i="6"/>
  <c r="J17" i="2" s="1"/>
  <c r="I32" i="6"/>
  <c r="J32" i="6"/>
  <c r="K60" i="6"/>
  <c r="K32" i="6"/>
  <c r="I23" i="2"/>
  <c r="I25" i="2"/>
  <c r="I26" i="2"/>
  <c r="I28" i="2"/>
  <c r="I31" i="2"/>
  <c r="I32" i="2"/>
  <c r="I38" i="2"/>
  <c r="I39" i="2"/>
  <c r="I43" i="2" s="1"/>
  <c r="I40" i="2"/>
  <c r="I41" i="2"/>
  <c r="I47" i="2"/>
  <c r="I48" i="2"/>
  <c r="I49" i="2"/>
  <c r="I50" i="2"/>
  <c r="I51" i="2"/>
  <c r="I52" i="2"/>
  <c r="I58" i="2"/>
  <c r="J23" i="2"/>
  <c r="J25" i="2"/>
  <c r="J26" i="2"/>
  <c r="J28" i="2"/>
  <c r="J31" i="2"/>
  <c r="J32" i="2"/>
  <c r="J38" i="2"/>
  <c r="J39" i="2"/>
  <c r="J40" i="2"/>
  <c r="J41" i="2"/>
  <c r="J48" i="2"/>
  <c r="J49" i="2"/>
  <c r="J50" i="2"/>
  <c r="J51" i="2"/>
  <c r="J52" i="2"/>
  <c r="K23" i="2"/>
  <c r="K25" i="2"/>
  <c r="K26" i="2"/>
  <c r="K28" i="2"/>
  <c r="K31" i="2"/>
  <c r="K32" i="2"/>
  <c r="K38" i="2"/>
  <c r="K39" i="2"/>
  <c r="K40" i="2"/>
  <c r="K41" i="2"/>
  <c r="K47" i="2"/>
  <c r="K49" i="2"/>
  <c r="K50" i="2"/>
  <c r="K51" i="2"/>
  <c r="L25" i="2"/>
  <c r="L26" i="2"/>
  <c r="L31" i="2"/>
  <c r="L32" i="2"/>
  <c r="L38" i="2"/>
  <c r="L39" i="2"/>
  <c r="L40" i="2"/>
  <c r="L41" i="2"/>
  <c r="L47" i="2"/>
  <c r="L48" i="2"/>
  <c r="L49" i="2"/>
  <c r="L50" i="2"/>
  <c r="L51" i="2"/>
  <c r="L52" i="2"/>
  <c r="P14" i="8"/>
  <c r="O14" i="8"/>
  <c r="N14" i="8"/>
  <c r="M14" i="8"/>
  <c r="I25" i="8"/>
  <c r="I26" i="8"/>
  <c r="I27" i="8"/>
  <c r="I31" i="8"/>
  <c r="I32" i="8"/>
  <c r="I38" i="8"/>
  <c r="I39" i="8"/>
  <c r="I40" i="8"/>
  <c r="I43" i="8" s="1"/>
  <c r="I41" i="8"/>
  <c r="I47" i="8"/>
  <c r="I48" i="8"/>
  <c r="I49" i="8"/>
  <c r="I50" i="8"/>
  <c r="I51" i="8"/>
  <c r="J25" i="8"/>
  <c r="J26" i="8"/>
  <c r="J31" i="8"/>
  <c r="J32" i="8"/>
  <c r="J38" i="8"/>
  <c r="J39" i="8"/>
  <c r="J40" i="8"/>
  <c r="J41" i="8"/>
  <c r="J49" i="8"/>
  <c r="M49" i="8" s="1"/>
  <c r="J50" i="8"/>
  <c r="J51" i="8"/>
  <c r="K23" i="8"/>
  <c r="K25" i="8"/>
  <c r="K26" i="8"/>
  <c r="K28" i="8"/>
  <c r="K31" i="8"/>
  <c r="K32" i="8"/>
  <c r="K38" i="8"/>
  <c r="K39" i="8"/>
  <c r="K40" i="8"/>
  <c r="K41" i="8"/>
  <c r="K48" i="8"/>
  <c r="K49" i="8"/>
  <c r="K50" i="8"/>
  <c r="K51" i="8"/>
  <c r="K52" i="8"/>
  <c r="L25" i="8"/>
  <c r="L26" i="8"/>
  <c r="L27" i="8"/>
  <c r="L31" i="8"/>
  <c r="L32" i="8"/>
  <c r="L38" i="8"/>
  <c r="L39" i="8"/>
  <c r="L40" i="8"/>
  <c r="L41" i="8"/>
  <c r="L47" i="8"/>
  <c r="L49" i="8"/>
  <c r="L50" i="8"/>
  <c r="L51" i="8"/>
  <c r="I58" i="8"/>
  <c r="F52" i="8"/>
  <c r="E13" i="8"/>
  <c r="M40" i="8"/>
  <c r="M32" i="8"/>
  <c r="M14" i="2"/>
  <c r="E13" i="2"/>
  <c r="M31" i="2"/>
  <c r="M40" i="2"/>
  <c r="M51" i="2"/>
  <c r="M58" i="2"/>
  <c r="F32" i="2"/>
  <c r="F52" i="2"/>
  <c r="H16" i="1"/>
  <c r="E34" i="1"/>
  <c r="L13" i="6"/>
  <c r="L57" i="6"/>
  <c r="L53" i="6"/>
  <c r="L52" i="6"/>
  <c r="L41" i="6"/>
  <c r="L43" i="6"/>
  <c r="F45" i="6"/>
  <c r="F43" i="6"/>
  <c r="F41" i="6"/>
  <c r="L32" i="6"/>
  <c r="L31" i="6"/>
  <c r="L30" i="6"/>
  <c r="L24" i="6"/>
  <c r="L15" i="6"/>
  <c r="K13" i="6"/>
  <c r="J13" i="6"/>
  <c r="F12" i="6"/>
  <c r="I13" i="6"/>
  <c r="H13" i="6"/>
  <c r="M51" i="8" l="1"/>
  <c r="M39" i="8"/>
  <c r="M38" i="2"/>
  <c r="M26" i="2"/>
  <c r="I54" i="2"/>
  <c r="J23" i="6"/>
  <c r="J48" i="8"/>
  <c r="J54" i="2"/>
  <c r="J28" i="8"/>
  <c r="L52" i="8"/>
  <c r="M41" i="8"/>
  <c r="K43" i="8"/>
  <c r="M31" i="8"/>
  <c r="M50" i="8"/>
  <c r="M38" i="8"/>
  <c r="M41" i="2"/>
  <c r="M32" i="2"/>
  <c r="M25" i="2"/>
  <c r="K30" i="1"/>
  <c r="L29" i="1"/>
  <c r="J30" i="1"/>
  <c r="I30" i="1"/>
  <c r="L23" i="2"/>
  <c r="L48" i="8"/>
  <c r="L28" i="2"/>
  <c r="M28" i="2" s="1"/>
  <c r="M26" i="8"/>
  <c r="L43" i="2"/>
  <c r="M50" i="2"/>
  <c r="M49" i="2"/>
  <c r="J43" i="2"/>
  <c r="M23" i="2"/>
  <c r="J60" i="6"/>
  <c r="K23" i="6"/>
  <c r="L56" i="6"/>
  <c r="J23" i="8"/>
  <c r="M25" i="8"/>
  <c r="M48" i="8"/>
  <c r="M52" i="2"/>
  <c r="M52" i="8"/>
  <c r="L40" i="7"/>
  <c r="J14" i="7"/>
  <c r="K17" i="8"/>
  <c r="K17" i="2"/>
  <c r="M47" i="2"/>
  <c r="L43" i="8"/>
  <c r="K54" i="2"/>
  <c r="K27" i="2"/>
  <c r="F32" i="8"/>
  <c r="L54" i="2"/>
  <c r="L27" i="2"/>
  <c r="M27" i="2" s="1"/>
  <c r="K48" i="2"/>
  <c r="M48" i="2" s="1"/>
  <c r="K43" i="2"/>
  <c r="K61" i="6"/>
  <c r="I29" i="1"/>
  <c r="H37" i="7"/>
  <c r="L54" i="8"/>
  <c r="I54" i="8"/>
  <c r="I28" i="8"/>
  <c r="I23" i="8"/>
  <c r="K22" i="6"/>
  <c r="L28" i="8"/>
  <c r="L23" i="8"/>
  <c r="J47" i="8"/>
  <c r="J54" i="8" s="1"/>
  <c r="J27" i="8"/>
  <c r="M27" i="8" s="1"/>
  <c r="N27" i="8" s="1"/>
  <c r="O27" i="8" s="1"/>
  <c r="M39" i="2"/>
  <c r="J17" i="8"/>
  <c r="K47" i="8"/>
  <c r="K54" i="8" s="1"/>
  <c r="M54" i="8" s="1"/>
  <c r="J43" i="8"/>
  <c r="M43" i="8" s="1"/>
  <c r="N43" i="8" s="1"/>
  <c r="I60" i="6"/>
  <c r="I22" i="6" s="1"/>
  <c r="H23" i="6"/>
  <c r="E41" i="7"/>
  <c r="K14" i="8"/>
  <c r="K14" i="2"/>
  <c r="L14" i="2"/>
  <c r="L14" i="8"/>
  <c r="H70" i="7"/>
  <c r="I17" i="8"/>
  <c r="L23" i="6"/>
  <c r="I17" i="2"/>
  <c r="L17" i="8"/>
  <c r="L17" i="2"/>
  <c r="I47" i="7"/>
  <c r="H21" i="6"/>
  <c r="M43" i="2"/>
  <c r="L30" i="1"/>
  <c r="K21" i="6" s="1"/>
  <c r="K25" i="6" s="1"/>
  <c r="I14" i="7"/>
  <c r="H61" i="6"/>
  <c r="I28" i="7"/>
  <c r="F62" i="7"/>
  <c r="N32" i="8"/>
  <c r="N52" i="8"/>
  <c r="O52" i="8" s="1"/>
  <c r="N51" i="8"/>
  <c r="O51" i="8" s="1"/>
  <c r="N50" i="8"/>
  <c r="N49" i="8"/>
  <c r="N48" i="8"/>
  <c r="O48" i="8" s="1"/>
  <c r="N41" i="8"/>
  <c r="N40" i="8"/>
  <c r="N39" i="8"/>
  <c r="O39" i="8" s="1"/>
  <c r="N38" i="8"/>
  <c r="O38" i="8" s="1"/>
  <c r="N31" i="8"/>
  <c r="N26" i="8"/>
  <c r="N25" i="8"/>
  <c r="O25" i="8" s="1"/>
  <c r="J61" i="6"/>
  <c r="J22" i="6" s="1"/>
  <c r="J16" i="6"/>
  <c r="J18" i="6" s="1"/>
  <c r="K29" i="1"/>
  <c r="J21" i="6" s="1"/>
  <c r="J29" i="1"/>
  <c r="I21" i="6" s="1"/>
  <c r="H51" i="6"/>
  <c r="K40" i="7"/>
  <c r="F61" i="7"/>
  <c r="K51" i="6"/>
  <c r="L47" i="7"/>
  <c r="I51" i="6"/>
  <c r="J47" i="7" l="1"/>
  <c r="M54" i="2"/>
  <c r="J14" i="2"/>
  <c r="J14" i="8"/>
  <c r="M47" i="8"/>
  <c r="N47" i="8" s="1"/>
  <c r="O47" i="8" s="1"/>
  <c r="L60" i="6"/>
  <c r="M28" i="8"/>
  <c r="N28" i="8" s="1"/>
  <c r="O28" i="8" s="1"/>
  <c r="I25" i="6"/>
  <c r="M23" i="8"/>
  <c r="N23" i="8" s="1"/>
  <c r="O23" i="8" s="1"/>
  <c r="I14" i="8"/>
  <c r="I14" i="2"/>
  <c r="J25" i="6"/>
  <c r="P27" i="8"/>
  <c r="P39" i="8"/>
  <c r="P48" i="8"/>
  <c r="P52" i="8"/>
  <c r="P23" i="8"/>
  <c r="O32" i="8"/>
  <c r="P32" i="8" s="1"/>
  <c r="O26" i="8"/>
  <c r="P26" i="8" s="1"/>
  <c r="M17" i="2"/>
  <c r="O50" i="8"/>
  <c r="P50" i="8" s="1"/>
  <c r="O31" i="8"/>
  <c r="P31" i="8" s="1"/>
  <c r="J30" i="2"/>
  <c r="J30" i="8"/>
  <c r="L61" i="6"/>
  <c r="P38" i="8"/>
  <c r="P47" i="8"/>
  <c r="P51" i="8"/>
  <c r="O49" i="8"/>
  <c r="P49" i="8" s="1"/>
  <c r="O41" i="8"/>
  <c r="P41" i="8" s="1"/>
  <c r="N54" i="8"/>
  <c r="I16" i="6"/>
  <c r="I18" i="6" s="1"/>
  <c r="I27" i="6" s="1"/>
  <c r="I35" i="6" s="1"/>
  <c r="J19" i="7"/>
  <c r="K16" i="6"/>
  <c r="K18" i="6" s="1"/>
  <c r="K27" i="6" s="1"/>
  <c r="K35" i="6" s="1"/>
  <c r="L19" i="7"/>
  <c r="I29" i="7"/>
  <c r="J28" i="7"/>
  <c r="I30" i="2"/>
  <c r="I30" i="8"/>
  <c r="M17" i="8"/>
  <c r="J27" i="6"/>
  <c r="J35" i="6" s="1"/>
  <c r="P25" i="8"/>
  <c r="O40" i="8"/>
  <c r="P40" i="8" s="1"/>
  <c r="O43" i="8"/>
  <c r="P43" i="8" s="1"/>
  <c r="I19" i="7"/>
  <c r="H16" i="6"/>
  <c r="L51" i="6"/>
  <c r="L21" i="6"/>
  <c r="K47" i="7"/>
  <c r="L30" i="2" s="1"/>
  <c r="P28" i="8"/>
  <c r="H22" i="6"/>
  <c r="L22" i="6" s="1"/>
  <c r="J37" i="6" l="1"/>
  <c r="K46" i="7" s="1"/>
  <c r="I37" i="6"/>
  <c r="J46" i="7" s="1"/>
  <c r="L30" i="8"/>
  <c r="N17" i="8"/>
  <c r="O17" i="8" s="1"/>
  <c r="P17" i="8" s="1"/>
  <c r="J29" i="7"/>
  <c r="K28" i="7"/>
  <c r="O54" i="8"/>
  <c r="P54" i="8" s="1"/>
  <c r="L16" i="6"/>
  <c r="H18" i="6"/>
  <c r="K24" i="2"/>
  <c r="K24" i="8"/>
  <c r="I24" i="2"/>
  <c r="J24" i="8"/>
  <c r="I24" i="8"/>
  <c r="J24" i="2"/>
  <c r="K37" i="6"/>
  <c r="L46" i="7" s="1"/>
  <c r="H25" i="6"/>
  <c r="L25" i="6" s="1"/>
  <c r="K30" i="2"/>
  <c r="M30" i="2" s="1"/>
  <c r="K30" i="8"/>
  <c r="M30" i="8" s="1"/>
  <c r="N30" i="8" s="1"/>
  <c r="L24" i="8"/>
  <c r="L24" i="2"/>
  <c r="K39" i="6" l="1"/>
  <c r="L16" i="2"/>
  <c r="L19" i="2" s="1"/>
  <c r="L16" i="8"/>
  <c r="L19" i="8" s="1"/>
  <c r="L18" i="6"/>
  <c r="H27" i="6"/>
  <c r="J49" i="7"/>
  <c r="J57" i="7" s="1"/>
  <c r="M24" i="8"/>
  <c r="N24" i="8" s="1"/>
  <c r="L28" i="7"/>
  <c r="L29" i="7" s="1"/>
  <c r="K29" i="7"/>
  <c r="O30" i="8"/>
  <c r="P30" i="8" s="1"/>
  <c r="I39" i="6"/>
  <c r="J39" i="6"/>
  <c r="L49" i="7"/>
  <c r="L57" i="7" s="1"/>
  <c r="L29" i="8"/>
  <c r="L34" i="8" s="1"/>
  <c r="L29" i="2"/>
  <c r="L34" i="2" s="1"/>
  <c r="M24" i="2"/>
  <c r="K49" i="7"/>
  <c r="K57" i="7" s="1"/>
  <c r="K29" i="2"/>
  <c r="K34" i="2" s="1"/>
  <c r="K29" i="8"/>
  <c r="K34" i="8" s="1"/>
  <c r="O24" i="8" l="1"/>
  <c r="P24" i="8" s="1"/>
  <c r="H35" i="6"/>
  <c r="L27" i="6"/>
  <c r="L56" i="2"/>
  <c r="L56" i="8"/>
  <c r="K16" i="2"/>
  <c r="K19" i="2" s="1"/>
  <c r="K56" i="2" s="1"/>
  <c r="K16" i="8"/>
  <c r="K19" i="8" s="1"/>
  <c r="K56" i="8" s="1"/>
  <c r="J16" i="8"/>
  <c r="J19" i="8" s="1"/>
  <c r="J16" i="2"/>
  <c r="J19" i="2" s="1"/>
  <c r="H37" i="6" l="1"/>
  <c r="H39" i="6" s="1"/>
  <c r="L35" i="6"/>
  <c r="H45" i="6" l="1"/>
  <c r="I62" i="7" s="1"/>
  <c r="I16" i="2"/>
  <c r="I16" i="8"/>
  <c r="L39" i="6"/>
  <c r="L45" i="6" s="1"/>
  <c r="L37" i="6"/>
  <c r="I46" i="7"/>
  <c r="I64" i="7" l="1"/>
  <c r="I41" i="6"/>
  <c r="I45" i="6" s="1"/>
  <c r="J62" i="7" s="1"/>
  <c r="I19" i="2"/>
  <c r="M16" i="2"/>
  <c r="I17" i="7"/>
  <c r="I49" i="7"/>
  <c r="I57" i="7" s="1"/>
  <c r="I29" i="2"/>
  <c r="I29" i="8"/>
  <c r="J29" i="8"/>
  <c r="J34" i="8" s="1"/>
  <c r="J56" i="8" s="1"/>
  <c r="J29" i="2"/>
  <c r="J34" i="2" s="1"/>
  <c r="J56" i="2" s="1"/>
  <c r="I19" i="8"/>
  <c r="M16" i="8"/>
  <c r="I69" i="7" l="1"/>
  <c r="I21" i="7"/>
  <c r="I37" i="7" s="1"/>
  <c r="J17" i="7"/>
  <c r="J58" i="2"/>
  <c r="J58" i="8"/>
  <c r="J60" i="8" s="1"/>
  <c r="J64" i="7"/>
  <c r="J66" i="7" s="1"/>
  <c r="J41" i="6"/>
  <c r="J45" i="6" s="1"/>
  <c r="K62" i="7" s="1"/>
  <c r="N16" i="8"/>
  <c r="J60" i="2"/>
  <c r="I66" i="7"/>
  <c r="M19" i="8"/>
  <c r="M29" i="2"/>
  <c r="I34" i="2"/>
  <c r="M34" i="2" s="1"/>
  <c r="M19" i="2"/>
  <c r="I56" i="2"/>
  <c r="M29" i="8"/>
  <c r="I34" i="8"/>
  <c r="I56" i="8" s="1"/>
  <c r="N29" i="8" l="1"/>
  <c r="O29" i="8" s="1"/>
  <c r="P29" i="8" s="1"/>
  <c r="O16" i="8"/>
  <c r="P16" i="8" s="1"/>
  <c r="I60" i="8"/>
  <c r="M56" i="8"/>
  <c r="N56" i="8" s="1"/>
  <c r="I60" i="2"/>
  <c r="I71" i="7" s="1"/>
  <c r="M56" i="2"/>
  <c r="M60" i="2" s="1"/>
  <c r="K64" i="7"/>
  <c r="K66" i="7" s="1"/>
  <c r="K41" i="6"/>
  <c r="K45" i="6" s="1"/>
  <c r="L62" i="7" s="1"/>
  <c r="L64" i="7" s="1"/>
  <c r="L66" i="7" s="1"/>
  <c r="N19" i="8"/>
  <c r="O19" i="8" s="1"/>
  <c r="M34" i="8"/>
  <c r="N34" i="8" s="1"/>
  <c r="I70" i="7"/>
  <c r="K17" i="7"/>
  <c r="J71" i="7"/>
  <c r="J69" i="7"/>
  <c r="K58" i="2"/>
  <c r="K60" i="2" s="1"/>
  <c r="J21" i="7"/>
  <c r="J37" i="7" s="1"/>
  <c r="J70" i="7" s="1"/>
  <c r="K58" i="8"/>
  <c r="K60" i="8" s="1"/>
  <c r="O34" i="8" l="1"/>
  <c r="P34" i="8" s="1"/>
  <c r="O56" i="8"/>
  <c r="P56" i="8" s="1"/>
  <c r="K21" i="7"/>
  <c r="K37" i="7" s="1"/>
  <c r="K70" i="7" s="1"/>
  <c r="K71" i="7"/>
  <c r="L58" i="2"/>
  <c r="L60" i="2" s="1"/>
  <c r="L58" i="8"/>
  <c r="K69" i="7"/>
  <c r="L17" i="7"/>
  <c r="P19" i="8"/>
  <c r="L69" i="7" l="1"/>
  <c r="L21" i="7"/>
  <c r="L37" i="7" s="1"/>
  <c r="L70" i="7" s="1"/>
  <c r="L71" i="7"/>
  <c r="L60" i="8"/>
  <c r="M58" i="8"/>
  <c r="N58" i="8" s="1"/>
  <c r="O58" i="8" l="1"/>
  <c r="P58" i="8" s="1"/>
  <c r="M60" i="8"/>
  <c r="N60" i="8" s="1"/>
  <c r="O60" i="8" l="1"/>
  <c r="P60" i="8" s="1"/>
</calcChain>
</file>

<file path=xl/comments1.xml><?xml version="1.0" encoding="utf-8"?>
<comments xmlns="http://schemas.openxmlformats.org/spreadsheetml/2006/main">
  <authors>
    <author>Author</author>
  </authors>
  <commentList>
    <comment ref="D9" authorId="0" shapeId="0">
      <text>
        <r>
          <rPr>
            <sz val="8"/>
            <color indexed="81"/>
            <rFont val="Tahoma"/>
            <family val="2"/>
          </rPr>
          <t>Use this template to help create the three forms that are fundamental for profitability management: the balance sheet, the income statement, and the cash flow statement.</t>
        </r>
      </text>
    </comment>
    <comment ref="F15" authorId="0" shapeId="0">
      <text>
        <r>
          <rPr>
            <sz val="8"/>
            <color indexed="81"/>
            <rFont val="Arial"/>
            <family val="2"/>
          </rPr>
          <t xml:space="preserve">Enter the year for which you wish to project financials. </t>
        </r>
      </text>
    </comment>
    <comment ref="F16" authorId="0" shapeId="0">
      <text>
        <r>
          <rPr>
            <sz val="8"/>
            <color indexed="81"/>
            <rFont val="Tahoma"/>
            <family val="2"/>
          </rPr>
          <t>Be sure that 'C' is entered if the company is a C-corporation. Otherwise, enter 'S' for an S-corporation, a sole proprietorship, or a partnership. Taxes will only be computed if you indicate that the company is a C-corporation. If this cell is blank,  the S-Corporation format will be used.  In a blank template, this cell will reflect the default value set by the checkbox in the 'Specify Default Business Planner Information Here...' section of the Customize sheet.</t>
        </r>
      </text>
    </comment>
    <comment ref="F17" authorId="0" shapeId="0">
      <text>
        <r>
          <rPr>
            <sz val="8"/>
            <color indexed="81"/>
            <rFont val="Tahoma"/>
            <family val="2"/>
          </rPr>
          <t>Enter Period: 1 = Quarter, 2 = Year</t>
        </r>
      </text>
    </comment>
    <comment ref="F35" authorId="0" shapeId="0">
      <text>
        <r>
          <rPr>
            <sz val="8"/>
            <color indexed="81"/>
            <rFont val="Arial"/>
            <family val="2"/>
          </rPr>
          <t xml:space="preserve">LONG TERM DEBT
Debt that is payable over periods greater than one fiscal year is considered long term. </t>
        </r>
      </text>
    </comment>
    <comment ref="J35" authorId="0" shapeId="0">
      <text>
        <r>
          <rPr>
            <sz val="8"/>
            <color indexed="81"/>
            <rFont val="Arial"/>
            <family val="2"/>
          </rPr>
          <t xml:space="preserve">The current portion of long term debt is the amount payable during the current fiscal year. </t>
        </r>
      </text>
    </comment>
    <comment ref="K35" authorId="0" shapeId="0">
      <text>
        <r>
          <rPr>
            <sz val="8"/>
            <color indexed="81"/>
            <rFont val="Arial"/>
            <family val="2"/>
          </rPr>
          <t xml:space="preserve">The long term (LT) portion of long term debt is the remaining amount payable after the current fiscal year. </t>
        </r>
      </text>
    </comment>
    <comment ref="F36" authorId="0" shapeId="0">
      <text>
        <r>
          <rPr>
            <sz val="8"/>
            <color indexed="81"/>
            <rFont val="Arial"/>
            <family val="2"/>
          </rPr>
          <t xml:space="preserve">SHORT TERM DEBT
Debt that is payable within one fiscal year is considered short term debt. </t>
        </r>
      </text>
    </comment>
    <comment ref="F37" authorId="0" shapeId="0">
      <text>
        <r>
          <rPr>
            <sz val="8"/>
            <color indexed="81"/>
            <rFont val="Arial"/>
            <family val="2"/>
          </rPr>
          <t xml:space="preserve">CAPITAL STOCK ISSUED
Enter the value of the capital stock issued. This amount should be the number of shares of stock issued times the par value of the stock. </t>
        </r>
      </text>
    </comment>
    <comment ref="F38" authorId="0" shapeId="0">
      <text>
        <r>
          <rPr>
            <sz val="8"/>
            <color indexed="81"/>
            <rFont val="Arial"/>
            <family val="2"/>
          </rPr>
          <t xml:space="preserve">ADDITIONAL PAID-IN CAPITAL (APIC)
Enter the amount of money received for the capital stock issued in excess of the value entered for the line above. </t>
        </r>
      </text>
    </comment>
    <comment ref="F39" authorId="0" shapeId="0">
      <text>
        <r>
          <rPr>
            <sz val="8"/>
            <color indexed="81"/>
            <rFont val="Arial"/>
            <family val="2"/>
          </rPr>
          <t xml:space="preserve">ACCUMULATED DEPRECIATION
Enter the amount of depreciation that has been accumulated on the equipment prior to the year of projection. Only the depreciation accumulated on equipment still owned by the company should be entered here. </t>
        </r>
      </text>
    </comment>
  </commentList>
</comments>
</file>

<file path=xl/comments2.xml><?xml version="1.0" encoding="utf-8"?>
<comments xmlns="http://schemas.openxmlformats.org/spreadsheetml/2006/main">
  <authors>
    <author>Author</author>
  </authors>
  <commentList>
    <comment ref="F15" authorId="0" shapeId="0">
      <text>
        <r>
          <rPr>
            <sz val="8"/>
            <color indexed="81"/>
            <rFont val="Arial"/>
            <family val="2"/>
          </rPr>
          <t xml:space="preserve">Enter the sales revenue forecast for each quarter here. Use your best estimates for growth and market conditions to make this forecast. </t>
        </r>
      </text>
    </comment>
    <comment ref="F16" authorId="0" shapeId="0">
      <text>
        <r>
          <rPr>
            <sz val="8"/>
            <color indexed="81"/>
            <rFont val="Arial"/>
            <family val="2"/>
          </rPr>
          <t xml:space="preserve">This row displays the calculated cost of sales for the company. </t>
        </r>
      </text>
    </comment>
    <comment ref="F21" authorId="0" shapeId="0">
      <text>
        <r>
          <rPr>
            <sz val="8"/>
            <color indexed="81"/>
            <rFont val="Arial"/>
            <family val="2"/>
          </rPr>
          <t xml:space="preserve">This row displays the calculated operating expenses for the company. </t>
        </r>
      </text>
    </comment>
    <comment ref="F22" authorId="0" shapeId="0">
      <text>
        <r>
          <rPr>
            <sz val="8"/>
            <color indexed="81"/>
            <rFont val="Arial"/>
            <family val="2"/>
          </rPr>
          <t xml:space="preserve">This row displays the calculated interest expenses for the company. </t>
        </r>
      </text>
    </comment>
    <comment ref="F23" authorId="0" shapeId="0">
      <text>
        <r>
          <rPr>
            <sz val="8"/>
            <color indexed="81"/>
            <rFont val="Arial"/>
            <family val="2"/>
          </rPr>
          <t xml:space="preserve">This row displays the calculated depreciation for the company. </t>
        </r>
      </text>
    </comment>
    <comment ref="F24" authorId="0" shapeId="0">
      <text>
        <r>
          <rPr>
            <sz val="8"/>
            <color indexed="81"/>
            <rFont val="Arial"/>
            <family val="2"/>
          </rPr>
          <t xml:space="preserve">Enter the amount of amortization to be expensed during each quarter. </t>
        </r>
      </text>
    </comment>
    <comment ref="F29" authorId="0" shapeId="0">
      <text>
        <r>
          <rPr>
            <sz val="8"/>
            <color indexed="81"/>
            <rFont val="Arial"/>
            <family val="2"/>
          </rPr>
          <t xml:space="preserve">Enter the amount of income or expenses that are not part of the main line of business for the company. These figures may produce income. Be careful how you enter them. </t>
        </r>
      </text>
    </comment>
    <comment ref="F37" authorId="0" shapeId="0">
      <text>
        <r>
          <rPr>
            <sz val="8"/>
            <color indexed="81"/>
            <rFont val="Arial"/>
            <family val="2"/>
          </rPr>
          <t xml:space="preserve">Enter the corporate tax rate for the year of projection. If you have chosen the S-corporation format, no taxes will be calculated. </t>
        </r>
      </text>
    </comment>
    <comment ref="F43" authorId="0" shapeId="0">
      <text>
        <r>
          <rPr>
            <sz val="8"/>
            <color indexed="81"/>
            <rFont val="Arial"/>
            <family val="2"/>
          </rPr>
          <t xml:space="preserve">Enter the amount that is distributed to the owners/shareholders of the company each quarter. </t>
        </r>
      </text>
    </comment>
    <comment ref="G52" authorId="0" shapeId="0">
      <text>
        <r>
          <rPr>
            <sz val="8"/>
            <color indexed="81"/>
            <rFont val="Arial"/>
            <family val="2"/>
          </rPr>
          <t xml:space="preserve">Enter the cost of the materials used in the goods sold. </t>
        </r>
      </text>
    </comment>
    <comment ref="G53" authorId="0" shapeId="0">
      <text>
        <r>
          <rPr>
            <sz val="8"/>
            <color indexed="81"/>
            <rFont val="Arial"/>
            <family val="2"/>
          </rPr>
          <t xml:space="preserve">Enter the cost of everything other than direct labor and materials in the goods sold. </t>
        </r>
      </text>
    </comment>
    <comment ref="F55" authorId="0" shapeId="0">
      <text>
        <r>
          <rPr>
            <sz val="8"/>
            <color indexed="81"/>
            <rFont val="Arial"/>
            <family val="2"/>
          </rPr>
          <t xml:space="preserve">Enter the number of years over which to depreciate buildings and equipment. </t>
        </r>
      </text>
    </comment>
  </commentList>
</comments>
</file>

<file path=xl/comments3.xml><?xml version="1.0" encoding="utf-8"?>
<comments xmlns="http://schemas.openxmlformats.org/spreadsheetml/2006/main">
  <authors>
    <author>Author</author>
  </authors>
  <commentList>
    <comment ref="F17" authorId="0" shapeId="0">
      <text>
        <r>
          <rPr>
            <sz val="8"/>
            <color indexed="81"/>
            <rFont val="Arial"/>
            <family val="2"/>
          </rPr>
          <t xml:space="preserve">Enter the actual figures for cash and cash equivalents here. </t>
        </r>
      </text>
    </comment>
    <comment ref="I17" authorId="0" shapeId="0">
      <text>
        <r>
          <rPr>
            <sz val="8"/>
            <color indexed="81"/>
            <rFont val="Arial"/>
            <family val="2"/>
          </rPr>
          <t xml:space="preserve">The shaded cells contain formulas and are automatically calculated by Excel. DO NOT enter any information into them. </t>
        </r>
      </text>
    </comment>
    <comment ref="F18" authorId="0" shapeId="0">
      <text>
        <r>
          <rPr>
            <sz val="8"/>
            <color indexed="81"/>
            <rFont val="Tahoma"/>
            <family val="2"/>
          </rPr>
          <t xml:space="preserve">Enter the actual figure for accounts receivable here. </t>
        </r>
      </text>
    </comment>
    <comment ref="F19" authorId="0" shapeId="0">
      <text>
        <r>
          <rPr>
            <sz val="8"/>
            <color indexed="81"/>
            <rFont val="Tahoma"/>
            <family val="2"/>
          </rPr>
          <t xml:space="preserve">Enter the actual dollar figure for inventory here. </t>
        </r>
      </text>
    </comment>
    <comment ref="F20" authorId="0" shapeId="0">
      <text>
        <r>
          <rPr>
            <sz val="8"/>
            <color indexed="81"/>
            <rFont val="Tahoma"/>
            <family val="2"/>
          </rPr>
          <t xml:space="preserve">Enter the actual and forecasted dollar figures for other current assets here. </t>
        </r>
      </text>
    </comment>
    <comment ref="F24" authorId="0" shapeId="0">
      <text>
        <r>
          <rPr>
            <sz val="8"/>
            <color indexed="81"/>
            <rFont val="Tahoma"/>
            <family val="2"/>
          </rPr>
          <t xml:space="preserve">Enter the dollar value of land owned by the company here. </t>
        </r>
      </text>
    </comment>
    <comment ref="F25" authorId="0" shapeId="0">
      <text>
        <r>
          <rPr>
            <sz val="8"/>
            <color indexed="81"/>
            <rFont val="Tahoma"/>
            <family val="2"/>
          </rPr>
          <t xml:space="preserve">Enter the dollar value of buildings owned by the company here. </t>
        </r>
      </text>
    </comment>
    <comment ref="F26" authorId="0" shapeId="0">
      <text>
        <r>
          <rPr>
            <sz val="8"/>
            <color indexed="81"/>
            <rFont val="Tahoma"/>
            <family val="2"/>
          </rPr>
          <t xml:space="preserve">Enter the dollar value of equipment owned by the company here. </t>
        </r>
      </text>
    </comment>
    <comment ref="F32" authorId="0" shapeId="0">
      <text>
        <r>
          <rPr>
            <sz val="8"/>
            <color indexed="81"/>
            <rFont val="Tahoma"/>
            <family val="2"/>
          </rPr>
          <t xml:space="preserve">Enter the dollar value of intangible assets. Intangible assets include any non-physical long-term assets (a patent, for instance). </t>
        </r>
      </text>
    </comment>
    <comment ref="F33" authorId="0" shapeId="0">
      <text>
        <r>
          <rPr>
            <sz val="8"/>
            <color indexed="81"/>
            <rFont val="Tahoma"/>
            <family val="2"/>
          </rPr>
          <t xml:space="preserve">Enter the accumulated amortization for the intangible assets owned by the company here. </t>
        </r>
      </text>
    </comment>
    <comment ref="F36" authorId="0" shapeId="0">
      <text>
        <r>
          <rPr>
            <sz val="8"/>
            <color indexed="81"/>
            <rFont val="Tahoma"/>
            <family val="2"/>
          </rPr>
          <t xml:space="preserve">Enter any other assets held by the company which do not fall into the categories listed above. </t>
        </r>
      </text>
    </comment>
    <comment ref="F43" authorId="0" shapeId="0">
      <text>
        <r>
          <rPr>
            <sz val="8"/>
            <color indexed="81"/>
            <rFont val="Tahoma"/>
            <family val="2"/>
          </rPr>
          <t xml:space="preserve">Enter the actual figure for accounts payable here. </t>
        </r>
      </text>
    </comment>
    <comment ref="F44" authorId="0" shapeId="0">
      <text>
        <r>
          <rPr>
            <sz val="8"/>
            <color indexed="81"/>
            <rFont val="Tahoma"/>
            <family val="2"/>
          </rPr>
          <t xml:space="preserve">Enter the actual figure for notes payable here. </t>
        </r>
      </text>
    </comment>
    <comment ref="F45" authorId="0" shapeId="0">
      <text>
        <r>
          <rPr>
            <sz val="8"/>
            <color indexed="81"/>
            <rFont val="Tahoma"/>
            <family val="2"/>
          </rPr>
          <t xml:space="preserve">Enter the actual figure for the current portion of long term debt (amount payable during the specified fiscal year) here. </t>
        </r>
      </text>
    </comment>
  </commentList>
</comments>
</file>

<file path=xl/comments4.xml><?xml version="1.0" encoding="utf-8"?>
<comments xmlns="http://schemas.openxmlformats.org/spreadsheetml/2006/main">
  <authors>
    <author>Author</author>
  </authors>
  <commentList>
    <comment ref="F15" authorId="0" shapeId="0">
      <text>
        <r>
          <rPr>
            <sz val="8"/>
            <color indexed="81"/>
            <rFont val="Tahoma"/>
            <family val="2"/>
          </rPr>
          <t xml:space="preserve">This shows the cash generated or consumed by the productive activities of the company. </t>
        </r>
      </text>
    </comment>
    <comment ref="I16" authorId="0" shapeId="0">
      <text>
        <r>
          <rPr>
            <sz val="8"/>
            <color indexed="81"/>
            <rFont val="Tahoma"/>
            <family val="2"/>
          </rPr>
          <t xml:space="preserve">The shaded cells contain formulas and are automatically calculated by Excel. DO NOT enter any information into them. </t>
        </r>
      </text>
    </comment>
    <comment ref="F21" authorId="0" shapeId="0">
      <text>
        <r>
          <rPr>
            <sz val="8"/>
            <color indexed="81"/>
            <rFont val="Tahoma"/>
            <family val="2"/>
          </rPr>
          <t xml:space="preserve">This section shows all cash generated or consumed by the productive activities of the company, including changes in current assets and liabilities required to support changing sales volumes. </t>
        </r>
      </text>
    </comment>
    <comment ref="F36" authorId="0" shapeId="0">
      <text>
        <r>
          <rPr>
            <sz val="8"/>
            <color indexed="81"/>
            <rFont val="Tahoma"/>
            <family val="2"/>
          </rPr>
          <t xml:space="preserve">This section details cash generated or consumed by investments. </t>
        </r>
      </text>
    </comment>
    <comment ref="F45" authorId="0" shapeId="0">
      <text>
        <r>
          <rPr>
            <sz val="8"/>
            <color indexed="81"/>
            <rFont val="Tahoma"/>
            <family val="2"/>
          </rPr>
          <t xml:space="preserve">This section details cash generated or consumed by financing. </t>
        </r>
      </text>
    </comment>
  </commentList>
</comments>
</file>

<file path=xl/comments5.xml><?xml version="1.0" encoding="utf-8"?>
<comments xmlns="http://schemas.openxmlformats.org/spreadsheetml/2006/main">
  <authors>
    <author>Author</author>
  </authors>
  <commentList>
    <comment ref="F15" authorId="0" shapeId="0">
      <text>
        <r>
          <rPr>
            <sz val="8"/>
            <color indexed="81"/>
            <rFont val="Tahoma"/>
            <family val="2"/>
          </rPr>
          <t xml:space="preserve">This shows the cash generated or consumed by the productive activities of the company. </t>
        </r>
      </text>
    </comment>
    <comment ref="I16" authorId="0" shapeId="0">
      <text>
        <r>
          <rPr>
            <sz val="8"/>
            <color indexed="81"/>
            <rFont val="Tahoma"/>
            <family val="2"/>
          </rPr>
          <t xml:space="preserve">The shaded cells contain formulas and are automatically calculated by Excel. DO NOT enter any information into them. </t>
        </r>
      </text>
    </comment>
    <comment ref="F21" authorId="0" shapeId="0">
      <text>
        <r>
          <rPr>
            <sz val="8"/>
            <color indexed="81"/>
            <rFont val="Tahoma"/>
            <family val="2"/>
          </rPr>
          <t xml:space="preserve">This section shows all cash generated or consumed by the productive activities of the company, including changes in current assets and liabilities required to support changing sales volumes. </t>
        </r>
      </text>
    </comment>
    <comment ref="F36" authorId="0" shapeId="0">
      <text>
        <r>
          <rPr>
            <sz val="8"/>
            <color indexed="81"/>
            <rFont val="Tahoma"/>
            <family val="2"/>
          </rPr>
          <t xml:space="preserve">This section details cash generated or consumed by investments. </t>
        </r>
      </text>
    </comment>
    <comment ref="F45" authorId="0" shapeId="0">
      <text>
        <r>
          <rPr>
            <sz val="8"/>
            <color indexed="81"/>
            <rFont val="Tahoma"/>
            <family val="2"/>
          </rPr>
          <t xml:space="preserve">This section details cash generated or consumed by financing. </t>
        </r>
      </text>
    </comment>
  </commentList>
</comments>
</file>

<file path=xl/sharedStrings.xml><?xml version="1.0" encoding="utf-8"?>
<sst xmlns="http://schemas.openxmlformats.org/spreadsheetml/2006/main" count="196" uniqueCount="135">
  <si>
    <t>This sheet serves to collect fundamental information not included on the balance sheet or income statement.  Note that changing data in one place may alter other data in the sheet. This allows you to immediately see the effect on future figures by making  a change in current figures. Use the Screen Split function to view changes.</t>
  </si>
  <si>
    <t>Year of Projection</t>
  </si>
  <si>
    <t xml:space="preserve">Corporation Type (C or S)? </t>
  </si>
  <si>
    <t>C</t>
  </si>
  <si>
    <t>Operating Data</t>
  </si>
  <si>
    <t>Days sales in accounts receivable</t>
  </si>
  <si>
    <t>Days materials cost in inventory</t>
  </si>
  <si>
    <t>Days finished goods in inventory</t>
  </si>
  <si>
    <t>Days materials cost in payables</t>
  </si>
  <si>
    <t>Days payroll expense accrued</t>
  </si>
  <si>
    <t>Days operating expense accrued</t>
  </si>
  <si>
    <t>Expense Data</t>
  </si>
  <si>
    <t>Direct labor as % of sales</t>
  </si>
  <si>
    <t>of sales</t>
  </si>
  <si>
    <t>Other payroll as % of sales</t>
  </si>
  <si>
    <t>Payroll taxes as % of payroll</t>
  </si>
  <si>
    <t>of payroll</t>
  </si>
  <si>
    <t>Insurance as % of payroll</t>
  </si>
  <si>
    <t>Legal/accounting as % of sales</t>
  </si>
  <si>
    <t>Office overhead as % of sales</t>
  </si>
  <si>
    <t>Depreciation</t>
  </si>
  <si>
    <t>Capital</t>
  </si>
  <si>
    <t>Current Portion</t>
  </si>
  <si>
    <t>LT Portion</t>
  </si>
  <si>
    <t>Rate</t>
  </si>
  <si>
    <t>Long term debt</t>
  </si>
  <si>
    <t>Short-term debt</t>
  </si>
  <si>
    <t>Capital stock issued</t>
  </si>
  <si>
    <t>Additional paid-in capital</t>
  </si>
  <si>
    <t xml:space="preserve">The information necessary to fill in this sheet can be found on any standard income statement. </t>
  </si>
  <si>
    <t>Forecasted</t>
  </si>
  <si>
    <t>Total</t>
  </si>
  <si>
    <t>Sales</t>
  </si>
  <si>
    <t>Cost of sales</t>
  </si>
  <si>
    <t xml:space="preserve">Gross profit  </t>
  </si>
  <si>
    <t>Expenses</t>
  </si>
  <si>
    <t>Operating expenses</t>
  </si>
  <si>
    <t>Interest</t>
  </si>
  <si>
    <t>Amortization</t>
  </si>
  <si>
    <t xml:space="preserve">Total expenses  </t>
  </si>
  <si>
    <t xml:space="preserve">Operating income  </t>
  </si>
  <si>
    <t>Other income and expenses</t>
  </si>
  <si>
    <t>Gain (loss) on sale of assets</t>
  </si>
  <si>
    <t>Other (net)</t>
  </si>
  <si>
    <t xml:space="preserve">Subtotal  </t>
  </si>
  <si>
    <t xml:space="preserve">Income before tax  </t>
  </si>
  <si>
    <t>Please enter  a tax percentage</t>
  </si>
  <si>
    <t>Taxes @</t>
  </si>
  <si>
    <t xml:space="preserve">Net income  </t>
  </si>
  <si>
    <t>Detailed Supporting Information</t>
  </si>
  <si>
    <t xml:space="preserve">Direct labor  </t>
  </si>
  <si>
    <t xml:space="preserve">Materials  </t>
  </si>
  <si>
    <t xml:space="preserve">Other costs  </t>
  </si>
  <si>
    <t>Depreciation: Enter the numbers of years.</t>
  </si>
  <si>
    <t>year Buildings</t>
  </si>
  <si>
    <t>year Equipment</t>
  </si>
  <si>
    <t>Interest: Percentages from Data sheet</t>
  </si>
  <si>
    <t>Long-Term</t>
  </si>
  <si>
    <t>Short-Term</t>
  </si>
  <si>
    <t xml:space="preserve"> </t>
  </si>
  <si>
    <t>Actual</t>
  </si>
  <si>
    <t>Forecast</t>
  </si>
  <si>
    <t>ASSETS</t>
  </si>
  <si>
    <t>Current Assets</t>
  </si>
  <si>
    <t>Cash and cash equivalents</t>
  </si>
  <si>
    <t>Accounts receivable</t>
  </si>
  <si>
    <t>Inventory</t>
  </si>
  <si>
    <t>Other current assets</t>
  </si>
  <si>
    <t xml:space="preserve">Total Current Assets  </t>
  </si>
  <si>
    <t>Fixed Assets</t>
  </si>
  <si>
    <t>Land</t>
  </si>
  <si>
    <t>Buildings</t>
  </si>
  <si>
    <t>Equipment</t>
  </si>
  <si>
    <t>Less-accumulated depreciation</t>
  </si>
  <si>
    <t xml:space="preserve">Total Fixed Assets  </t>
  </si>
  <si>
    <t>Intangible Assets</t>
  </si>
  <si>
    <t>Cost</t>
  </si>
  <si>
    <t>Less-accumulated amortization</t>
  </si>
  <si>
    <t xml:space="preserve">Total Intangible Assets  </t>
  </si>
  <si>
    <t>Other assets</t>
  </si>
  <si>
    <t xml:space="preserve">Total Assets  </t>
  </si>
  <si>
    <t>LIABILITIES AND</t>
  </si>
  <si>
    <t>Current Liabilities</t>
  </si>
  <si>
    <t>Accounts payable</t>
  </si>
  <si>
    <t>Notes payable</t>
  </si>
  <si>
    <t>Current portion of long-term debt</t>
  </si>
  <si>
    <t>Income taxes</t>
  </si>
  <si>
    <t>Accrued expenses</t>
  </si>
  <si>
    <t>Other current liabilities</t>
  </si>
  <si>
    <t xml:space="preserve">Total Current Liabilities  </t>
  </si>
  <si>
    <t>Non-Current Liabilities</t>
  </si>
  <si>
    <t>Long-term debt</t>
  </si>
  <si>
    <t>Deferred income</t>
  </si>
  <si>
    <t>Deferred income taxes</t>
  </si>
  <si>
    <t>Other long-term liabilities</t>
  </si>
  <si>
    <t xml:space="preserve">Total Liabilities  </t>
  </si>
  <si>
    <t xml:space="preserve">Total Liabilities and Equity  </t>
  </si>
  <si>
    <t>"C" Corporation (Y/N)</t>
  </si>
  <si>
    <t>Cash balance positive or (negative)</t>
  </si>
  <si>
    <t>Amount sheet is out-of-balance</t>
  </si>
  <si>
    <t>Amount cash flow out-of-balance</t>
  </si>
  <si>
    <t>Cash from operations</t>
  </si>
  <si>
    <t>Net earnings (loss)</t>
  </si>
  <si>
    <t>Add-depreciation and amortization</t>
  </si>
  <si>
    <t xml:space="preserve">Net cash from operations  </t>
  </si>
  <si>
    <t xml:space="preserve">Cash provided (used) by </t>
  </si>
  <si>
    <t>operating activities</t>
  </si>
  <si>
    <t>Accounts Receivable</t>
  </si>
  <si>
    <t>Other non-current assets</t>
  </si>
  <si>
    <t>Investment transactions</t>
  </si>
  <si>
    <t>Increases (decreases)</t>
  </si>
  <si>
    <t xml:space="preserve">Land </t>
  </si>
  <si>
    <t>Buildings and improvements</t>
  </si>
  <si>
    <t>Intangible assets</t>
  </si>
  <si>
    <t xml:space="preserve">Net cash from investments  </t>
  </si>
  <si>
    <t>Financing transactions</t>
  </si>
  <si>
    <t>Short term notes payable</t>
  </si>
  <si>
    <t xml:space="preserve">Net cash from financing  </t>
  </si>
  <si>
    <t xml:space="preserve">Net increase (decrease) in cash  </t>
  </si>
  <si>
    <t xml:space="preserve">Cash at beginning of period  </t>
  </si>
  <si>
    <t xml:space="preserve">Cash at the end of period  </t>
  </si>
  <si>
    <t>This sheet displays quarterly operating turnover information from the Data Sheet.</t>
  </si>
  <si>
    <t xml:space="preserve">This sheet shows the distribution of assets per quarter for the company. </t>
  </si>
  <si>
    <t xml:space="preserve">This sheet displays the quarterly distribution of income for the company. </t>
  </si>
  <si>
    <r>
      <t xml:space="preserve">The information required for this sheet can be found on a standard balance sheet.  </t>
    </r>
    <r>
      <rPr>
        <b/>
        <sz val="10"/>
        <color indexed="10"/>
        <rFont val="Arial"/>
        <family val="2"/>
      </rPr>
      <t>NOTE:</t>
    </r>
    <r>
      <rPr>
        <sz val="10"/>
        <color indexed="8"/>
        <rFont val="Arial"/>
        <family val="2"/>
      </rPr>
      <t xml:space="preserve"> Enter the data sequentially from top to bottom on this form. Incorrect figures will result in errors in your cash flow calculations. </t>
    </r>
  </si>
  <si>
    <t>Other</t>
  </si>
  <si>
    <t>Current</t>
  </si>
  <si>
    <t>Forecasted-Linear Regression Analysis</t>
  </si>
  <si>
    <r>
      <t xml:space="preserve">This sheet displays all the information normally found on a standard cash flow statement. </t>
    </r>
    <r>
      <rPr>
        <sz val="10"/>
        <color indexed="10"/>
        <rFont val="Arial"/>
        <family val="2"/>
      </rPr>
      <t xml:space="preserve"> It is entirely calculated from the information on the Data Entry, Income Statement, and Balance worksheets. </t>
    </r>
  </si>
  <si>
    <t>Enter Period</t>
  </si>
  <si>
    <t>Enter Period: 1 = Quarter, 2 = Year</t>
  </si>
  <si>
    <t>Corporate Analysis</t>
  </si>
  <si>
    <r>
      <rPr>
        <sz val="10"/>
        <color theme="1"/>
        <rFont val="Arial"/>
        <family val="2"/>
      </rPr>
      <t>The shaded cells contain formulas and are automatically calculated by Excel. DO NOT enter any information into them. Enter numbers where they are</t>
    </r>
    <r>
      <rPr>
        <b/>
        <sz val="10"/>
        <color indexed="10"/>
        <rFont val="Arial"/>
        <family val="2"/>
      </rPr>
      <t xml:space="preserve"> </t>
    </r>
    <r>
      <rPr>
        <b/>
        <sz val="10"/>
        <color indexed="12"/>
        <rFont val="Arial"/>
        <family val="2"/>
      </rPr>
      <t>BLUE</t>
    </r>
    <r>
      <rPr>
        <b/>
        <sz val="10"/>
        <color indexed="10"/>
        <rFont val="Arial"/>
        <family val="2"/>
      </rPr>
      <t>.</t>
    </r>
  </si>
  <si>
    <t xml:space="preserve">This sheet displays all the information normally found on a standard cash flow statement. It is entirely calculated from the information on the Data Entry, Income Statement, and Balance worksheets. </t>
  </si>
  <si>
    <t>Accumulated depreciation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</si>
</sst>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64" formatCode="&quot;$&quot;#,##0_);\(&quot;$&quot;#,##0\)"/>
    <numFmt numFmtId="165" formatCode="&quot;$&quot;#,##0_);[Red]\(&quot;$&quot;#,##0\)"/>
    <numFmt numFmtId="166" formatCode="_(&quot;$&quot;* #,##0.00_);_(&quot;$&quot;* \(#,##0.00\);_(&quot;$&quot;* &quot;-&quot;??_);_(@_)"/>
    <numFmt numFmtId="167" formatCode="_(* #,##0.00_);_(* \(#,##0.00\);_(* &quot;-&quot;??_);_(@_)"/>
    <numFmt numFmtId="168" formatCode="&quot;$&quot;#,##0.00"/>
    <numFmt numFmtId="169" formatCode=";;"/>
    <numFmt numFmtId="170" formatCode="_-&quot;£&quot;* #,##0_-;\-&quot;£&quot;* #,##0_-;_-&quot;£&quot;* &quot;-&quot;_-;_-@_-"/>
    <numFmt numFmtId="171" formatCode="_-* #,##0_-;\-* #,##0_-;_-* &quot;-&quot;_-;_-@_-"/>
    <numFmt numFmtId="172" formatCode="_-&quot;£&quot;* #,##0.00_-;\-&quot;£&quot;* #,##0.00_-;_-&quot;£&quot;* &quot;-&quot;??_-;_-@_-"/>
    <numFmt numFmtId="173" formatCode="_-* #,##0.00_-;\-* #,##0.00_-;_-* &quot;-&quot;??_-;_-@_-"/>
    <numFmt numFmtId="174" formatCode="0.00%_);[Red]\(0.00%\)"/>
    <numFmt numFmtId="175" formatCode="0%_);[Red]\(0%\)"/>
    <numFmt numFmtId="176" formatCode="mm/dd/yy"/>
    <numFmt numFmtId="177" formatCode="0_);[Red]\(0\)"/>
    <numFmt numFmtId="178" formatCode="#,##0.0_);\(#,##0.0\)"/>
    <numFmt numFmtId="179" formatCode="#,##0.0\ ;\(#,##0.0\)"/>
    <numFmt numFmtId="180" formatCode="#,##0\ ;\(#,##0.0\)"/>
    <numFmt numFmtId="181" formatCode="&quot;$&quot;0.00_)"/>
    <numFmt numFmtId="182" formatCode="#,##0&quot;%&quot;"/>
    <numFmt numFmtId="183" formatCode="#,##0___);\(#,##0.00\)"/>
  </numFmts>
  <fonts count="60">
    <font>
      <sz val="10"/>
      <name val="Arial"/>
    </font>
    <font>
      <sz val="10"/>
      <name val="Arial"/>
      <family val="2"/>
    </font>
    <font>
      <sz val="10"/>
      <color indexed="8"/>
      <name val="Arial"/>
      <family val="2"/>
    </font>
    <font>
      <sz val="8"/>
      <name val="Arial"/>
      <family val="2"/>
    </font>
    <font>
      <b/>
      <sz val="10"/>
      <color indexed="10"/>
      <name val="Arial"/>
      <family val="2"/>
    </font>
    <font>
      <b/>
      <sz val="10"/>
      <color indexed="8"/>
      <name val="Arial"/>
      <family val="2"/>
    </font>
    <font>
      <b/>
      <i/>
      <sz val="10"/>
      <color indexed="8"/>
      <name val="Arial"/>
      <family val="2"/>
    </font>
    <font>
      <sz val="8"/>
      <color indexed="81"/>
      <name val="Arial"/>
      <family val="2"/>
    </font>
    <font>
      <sz val="8"/>
      <color indexed="81"/>
      <name val="Tahoma"/>
      <family val="2"/>
    </font>
    <font>
      <sz val="10"/>
      <color indexed="10"/>
      <name val="Arial"/>
      <family val="2"/>
    </font>
    <font>
      <b/>
      <i/>
      <sz val="10"/>
      <color indexed="8"/>
      <name val="Arial"/>
      <family val="2"/>
    </font>
    <font>
      <b/>
      <sz val="10"/>
      <color indexed="8"/>
      <name val="Arial"/>
      <family val="2"/>
    </font>
    <font>
      <b/>
      <sz val="11"/>
      <color indexed="10"/>
      <name val="Arial"/>
      <family val="2"/>
    </font>
    <font>
      <b/>
      <sz val="10"/>
      <name val="Arial"/>
      <family val="2"/>
    </font>
    <font>
      <sz val="10"/>
      <color indexed="8"/>
      <name val="Arial MT"/>
    </font>
    <font>
      <b/>
      <sz val="12"/>
      <color indexed="8"/>
      <name val="Arial"/>
      <family val="2"/>
    </font>
    <font>
      <b/>
      <sz val="10"/>
      <color indexed="8"/>
      <name val="Arial MT"/>
    </font>
    <font>
      <sz val="10"/>
      <color indexed="12"/>
      <name val="Arial"/>
      <family val="2"/>
    </font>
    <font>
      <b/>
      <sz val="10"/>
      <color indexed="12"/>
      <name val="Arial"/>
      <family val="2"/>
    </font>
    <font>
      <u/>
      <sz val="10"/>
      <color indexed="12"/>
      <name val="Arial"/>
      <family val="2"/>
    </font>
    <font>
      <sz val="8"/>
      <name val="Tahoma"/>
      <family val="2"/>
    </font>
    <font>
      <sz val="8"/>
      <name val="Times New Roman"/>
      <family val="1"/>
    </font>
    <font>
      <sz val="8"/>
      <name val="Verdana"/>
      <family val="2"/>
    </font>
    <font>
      <sz val="10"/>
      <name val="Helv"/>
    </font>
    <font>
      <sz val="10"/>
      <name val="Arial"/>
      <family val="2"/>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9"/>
      <color indexed="10"/>
      <name val="Arial"/>
      <family val="2"/>
    </font>
    <font>
      <i/>
      <sz val="10"/>
      <color indexed="12"/>
      <name val="Tms Rmn"/>
    </font>
    <font>
      <b/>
      <sz val="10"/>
      <color indexed="8"/>
      <name val="Tms Rmn"/>
    </font>
    <font>
      <b/>
      <sz val="12"/>
      <name val="Tms Rmn"/>
    </font>
    <font>
      <b/>
      <i/>
      <sz val="12"/>
      <name val="Tms Rmn"/>
    </font>
    <font>
      <sz val="10"/>
      <color indexed="9"/>
      <name val="Arial"/>
      <family val="2"/>
    </font>
    <font>
      <b/>
      <i/>
      <sz val="14"/>
      <name val="Times New Roman"/>
      <family val="1"/>
    </font>
    <font>
      <sz val="10"/>
      <color indexed="12"/>
      <name val="Helv"/>
    </font>
    <font>
      <b/>
      <sz val="9"/>
      <color indexed="9"/>
      <name val="Times New Roman"/>
      <family val="1"/>
    </font>
    <font>
      <b/>
      <sz val="10"/>
      <name val="Times New Roman"/>
      <family val="1"/>
    </font>
    <font>
      <sz val="8"/>
      <name val="Helv"/>
    </font>
    <font>
      <sz val="10"/>
      <name val="MS Sans Serif"/>
      <family val="2"/>
    </font>
    <font>
      <sz val="10"/>
      <name val="Tms Rmn"/>
    </font>
    <font>
      <b/>
      <i/>
      <sz val="22"/>
      <color indexed="9"/>
      <name val="Times New Roman"/>
      <family val="1"/>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46"/>
      <name val="Calibri"/>
      <family val="2"/>
    </font>
    <font>
      <sz val="11"/>
      <color indexed="19"/>
      <name val="Calibri"/>
      <family val="2"/>
    </font>
    <font>
      <b/>
      <sz val="11"/>
      <color indexed="63"/>
      <name val="Calibri"/>
      <family val="2"/>
    </font>
    <font>
      <sz val="11"/>
      <color indexed="10"/>
      <name val="Calibri"/>
      <family val="2"/>
    </font>
    <font>
      <sz val="10"/>
      <color theme="1"/>
      <name val="Arial"/>
      <family val="2"/>
    </font>
    <font>
      <b/>
      <sz val="10"/>
      <color rgb="FF0070C0"/>
      <name val="Arial"/>
      <family val="2"/>
    </font>
  </fonts>
  <fills count="37">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solid">
        <fgColor indexed="37"/>
        <bgColor indexed="64"/>
      </patternFill>
    </fill>
    <fill>
      <patternFill patternType="solid">
        <fgColor indexed="15"/>
        <bgColor indexed="64"/>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16"/>
        <bgColor indexed="64"/>
      </patternFill>
    </fill>
    <fill>
      <patternFill patternType="solid">
        <fgColor indexed="8"/>
        <bgColor indexed="58"/>
      </patternFill>
    </fill>
    <fill>
      <patternFill patternType="solid">
        <fgColor indexed="22"/>
        <bgColor indexed="22"/>
      </patternFill>
    </fill>
    <fill>
      <patternFill patternType="solid">
        <fgColor indexed="58"/>
        <bgColor indexed="64"/>
      </patternFill>
    </fill>
    <fill>
      <patternFill patternType="solid">
        <fgColor indexed="9"/>
      </patternFill>
    </fill>
    <fill>
      <patternFill patternType="solid">
        <fgColor indexed="9"/>
        <bgColor indexed="8"/>
      </patternFill>
    </fill>
    <fill>
      <patternFill patternType="darkGray">
        <fgColor indexed="9"/>
        <bgColor indexed="9"/>
      </patternFill>
    </fill>
    <fill>
      <patternFill patternType="solid">
        <fgColor indexed="9"/>
        <bgColor indexed="58"/>
      </patternFill>
    </fill>
    <fill>
      <patternFill patternType="solid">
        <fgColor indexed="18"/>
        <bgColor indexed="64"/>
      </patternFill>
    </fill>
    <fill>
      <patternFill patternType="solid">
        <fgColor theme="0" tint="-4.9989318521683403E-2"/>
        <bgColor indexed="64"/>
      </patternFill>
    </fill>
  </fills>
  <borders count="71">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ck">
        <color indexed="51"/>
      </left>
      <right/>
      <top style="thick">
        <color indexed="51"/>
      </top>
      <bottom style="thick">
        <color indexed="51"/>
      </bottom>
      <diagonal/>
    </border>
    <border>
      <left/>
      <right/>
      <top/>
      <bottom style="thin">
        <color indexed="64"/>
      </bottom>
      <diagonal/>
    </border>
    <border>
      <left style="thick">
        <color indexed="9"/>
      </left>
      <right/>
      <top style="thick">
        <color indexed="9"/>
      </top>
      <bottom style="thick">
        <color indexed="23"/>
      </bottom>
      <diagonal/>
    </border>
    <border>
      <left/>
      <right/>
      <top/>
      <bottom style="medium">
        <color indexed="64"/>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double">
        <color indexed="64"/>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right/>
      <top style="thick">
        <color indexed="19"/>
      </top>
      <bottom style="thin">
        <color indexed="59"/>
      </bottom>
      <diagonal/>
    </border>
    <border>
      <left style="medium">
        <color indexed="19"/>
      </left>
      <right/>
      <top style="medium">
        <color indexed="19"/>
      </top>
      <bottom/>
      <diagonal/>
    </border>
    <border>
      <left/>
      <right/>
      <top style="medium">
        <color indexed="19"/>
      </top>
      <bottom/>
      <diagonal/>
    </border>
    <border>
      <left/>
      <right style="medium">
        <color indexed="19"/>
      </right>
      <top style="medium">
        <color indexed="19"/>
      </top>
      <bottom/>
      <diagonal/>
    </border>
    <border>
      <left style="medium">
        <color indexed="19"/>
      </left>
      <right/>
      <top/>
      <bottom/>
      <diagonal/>
    </border>
    <border>
      <left/>
      <right style="medium">
        <color indexed="19"/>
      </right>
      <top/>
      <bottom/>
      <diagonal/>
    </border>
    <border>
      <left style="hair">
        <color indexed="8"/>
      </left>
      <right/>
      <top style="hair">
        <color indexed="8"/>
      </top>
      <bottom/>
      <diagonal/>
    </border>
    <border>
      <left/>
      <right/>
      <top style="hair">
        <color indexed="8"/>
      </top>
      <bottom/>
      <diagonal/>
    </border>
    <border>
      <left style="hair">
        <color indexed="8"/>
      </left>
      <right/>
      <top/>
      <bottom/>
      <diagonal/>
    </border>
    <border>
      <left/>
      <right style="hair">
        <color indexed="8"/>
      </right>
      <top/>
      <bottom/>
      <diagonal/>
    </border>
    <border>
      <left/>
      <right/>
      <top/>
      <bottom style="hair">
        <color indexed="8"/>
      </bottom>
      <diagonal/>
    </border>
    <border>
      <left/>
      <right style="hair">
        <color indexed="8"/>
      </right>
      <top/>
      <bottom style="hair">
        <color indexed="8"/>
      </bottom>
      <diagonal/>
    </border>
    <border>
      <left style="medium">
        <color indexed="19"/>
      </left>
      <right/>
      <top/>
      <bottom style="medium">
        <color indexed="19"/>
      </bottom>
      <diagonal/>
    </border>
    <border>
      <left/>
      <right/>
      <top/>
      <bottom style="medium">
        <color indexed="19"/>
      </bottom>
      <diagonal/>
    </border>
    <border>
      <left/>
      <right style="medium">
        <color indexed="19"/>
      </right>
      <top/>
      <bottom style="medium">
        <color indexed="19"/>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64"/>
      </left>
      <right style="hair">
        <color indexed="8"/>
      </right>
      <top style="hair">
        <color indexed="8"/>
      </top>
      <bottom style="hair">
        <color indexed="8"/>
      </bottom>
      <diagonal/>
    </border>
    <border>
      <left/>
      <right style="hair">
        <color indexed="64"/>
      </right>
      <top style="hair">
        <color indexed="8"/>
      </top>
      <bottom style="hair">
        <color indexed="8"/>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diagonal/>
    </border>
    <border>
      <left/>
      <right style="hair">
        <color indexed="64"/>
      </right>
      <top style="hair">
        <color indexed="8"/>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style="hair">
        <color indexed="8"/>
      </left>
      <right style="hair">
        <color indexed="8"/>
      </right>
      <top/>
      <bottom style="hair">
        <color indexed="8"/>
      </bottom>
      <diagonal/>
    </border>
    <border>
      <left style="medium">
        <color indexed="8"/>
      </left>
      <right/>
      <top/>
      <bottom/>
      <diagonal/>
    </border>
    <border>
      <left style="medium">
        <color indexed="8"/>
      </left>
      <right/>
      <top style="hair">
        <color indexed="8"/>
      </top>
      <bottom style="hair">
        <color indexed="8"/>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hair">
        <color indexed="8"/>
      </right>
      <top style="hair">
        <color indexed="8"/>
      </top>
      <bottom/>
      <diagonal/>
    </border>
  </borders>
  <cellStyleXfs count="96">
    <xf numFmtId="0" fontId="0" fillId="0" borderId="0"/>
    <xf numFmtId="0" fontId="46" fillId="2"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2"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3"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6" borderId="0" applyNumberFormat="0" applyBorder="0" applyAlignment="0" applyProtection="0"/>
    <xf numFmtId="0" fontId="46" fillId="7" borderId="0" applyNumberFormat="0" applyBorder="0" applyAlignment="0" applyProtection="0"/>
    <xf numFmtId="0" fontId="47" fillId="6" borderId="0" applyNumberFormat="0" applyBorder="0" applyAlignment="0" applyProtection="0"/>
    <xf numFmtId="0" fontId="47" fillId="3" borderId="0" applyNumberFormat="0" applyBorder="0" applyAlignment="0" applyProtection="0"/>
    <xf numFmtId="0" fontId="47" fillId="9" borderId="0" applyNumberFormat="0" applyBorder="0" applyAlignment="0" applyProtection="0"/>
    <xf numFmtId="0" fontId="47" fillId="8" borderId="0" applyNumberFormat="0" applyBorder="0" applyAlignment="0" applyProtection="0"/>
    <xf numFmtId="0" fontId="47" fillId="6"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12" borderId="0" applyNumberFormat="0" applyBorder="0" applyAlignment="0" applyProtection="0"/>
    <xf numFmtId="0" fontId="47" fillId="9"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37" fontId="20" fillId="16" borderId="1" applyBorder="0" applyProtection="0">
      <alignment vertical="center"/>
    </xf>
    <xf numFmtId="0" fontId="48" fillId="17" borderId="0" applyNumberFormat="0" applyBorder="0" applyAlignment="0" applyProtection="0"/>
    <xf numFmtId="164" fontId="21" fillId="0" borderId="2">
      <protection locked="0"/>
    </xf>
    <xf numFmtId="0" fontId="22" fillId="18" borderId="0" applyBorder="0">
      <alignment horizontal="left" vertical="center" indent="1"/>
    </xf>
    <xf numFmtId="37" fontId="35" fillId="0" borderId="0"/>
    <xf numFmtId="37" fontId="36" fillId="0" borderId="0"/>
    <xf numFmtId="0" fontId="49" fillId="4" borderId="3" applyNumberFormat="0" applyAlignment="0" applyProtection="0"/>
    <xf numFmtId="0" fontId="50" fillId="19" borderId="4" applyNumberFormat="0" applyAlignment="0" applyProtection="0"/>
    <xf numFmtId="0" fontId="37" fillId="20" borderId="5" applyNumberFormat="0" applyBorder="0" applyAlignment="0">
      <alignment horizontal="left" wrapText="1"/>
    </xf>
    <xf numFmtId="0" fontId="23" fillId="0" borderId="0"/>
    <xf numFmtId="180" fontId="23" fillId="0" borderId="6"/>
    <xf numFmtId="3" fontId="1" fillId="0" borderId="0" applyFont="0" applyFill="0" applyBorder="0" applyAlignment="0" applyProtection="0"/>
    <xf numFmtId="0" fontId="38" fillId="21" borderId="7" applyFont="0" applyBorder="0">
      <alignment horizontal="centerContinuous" vertical="center"/>
    </xf>
    <xf numFmtId="181" fontId="39" fillId="0" borderId="8">
      <protection hidden="1"/>
    </xf>
    <xf numFmtId="164" fontId="1" fillId="0" borderId="0" applyFont="0" applyFill="0" applyBorder="0" applyAlignment="0" applyProtection="0"/>
    <xf numFmtId="0" fontId="23" fillId="0" borderId="9"/>
    <xf numFmtId="4" fontId="21" fillId="22" borderId="9">
      <protection locked="0"/>
    </xf>
    <xf numFmtId="0" fontId="1" fillId="0" borderId="0"/>
    <xf numFmtId="176"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81" fontId="39" fillId="0" borderId="8">
      <protection hidden="1"/>
    </xf>
    <xf numFmtId="0" fontId="51" fillId="0" borderId="0" applyNumberFormat="0" applyFill="0" applyBorder="0" applyAlignment="0" applyProtection="0"/>
    <xf numFmtId="177" fontId="24" fillId="0" borderId="0" applyFont="0" applyFill="0" applyBorder="0" applyAlignment="0" applyProtection="0"/>
    <xf numFmtId="0" fontId="52" fillId="6" borderId="0" applyNumberFormat="0" applyBorder="0" applyAlignment="0" applyProtection="0"/>
    <xf numFmtId="4" fontId="21" fillId="23" borderId="9"/>
    <xf numFmtId="167" fontId="25" fillId="0" borderId="10"/>
    <xf numFmtId="37" fontId="26" fillId="24" borderId="2" applyBorder="0">
      <alignment horizontal="left" vertical="center" indent="1"/>
    </xf>
    <xf numFmtId="37" fontId="27" fillId="25" borderId="11" applyFill="0">
      <alignment vertical="center"/>
    </xf>
    <xf numFmtId="0" fontId="27" fillId="26" borderId="8" applyNumberFormat="0">
      <alignment horizontal="left" vertical="top" indent="1"/>
    </xf>
    <xf numFmtId="0" fontId="27" fillId="16" borderId="0" applyBorder="0">
      <alignment horizontal="left" vertical="center" indent="1"/>
    </xf>
    <xf numFmtId="0" fontId="27" fillId="0" borderId="8" applyNumberFormat="0" applyFill="0">
      <alignment horizontal="centerContinuous" vertical="top"/>
    </xf>
    <xf numFmtId="0" fontId="40" fillId="27" borderId="12" applyBorder="0" applyAlignment="0"/>
    <xf numFmtId="0" fontId="28" fillId="0" borderId="0" applyNumberFormat="0" applyFont="0" applyFill="0" applyAlignment="0" applyProtection="0"/>
    <xf numFmtId="0" fontId="29" fillId="0" borderId="0" applyNumberFormat="0" applyFont="0" applyFill="0" applyAlignment="0" applyProtection="0"/>
    <xf numFmtId="0" fontId="53" fillId="0" borderId="13" applyNumberFormat="0" applyFill="0" applyAlignment="0" applyProtection="0"/>
    <xf numFmtId="0" fontId="53" fillId="0" borderId="0" applyNumberFormat="0" applyFill="0" applyBorder="0" applyAlignment="0" applyProtection="0"/>
    <xf numFmtId="0" fontId="19" fillId="0" borderId="0" applyNumberFormat="0" applyFill="0" applyBorder="0" applyAlignment="0" applyProtection="0">
      <alignment vertical="top"/>
      <protection locked="0"/>
    </xf>
    <xf numFmtId="0" fontId="41" fillId="21" borderId="14"/>
    <xf numFmtId="167" fontId="25" fillId="0" borderId="15"/>
    <xf numFmtId="0" fontId="54" fillId="0" borderId="16" applyNumberFormat="0" applyFill="0" applyAlignment="0" applyProtection="0"/>
    <xf numFmtId="166" fontId="25" fillId="0" borderId="17"/>
    <xf numFmtId="178" fontId="42" fillId="0" borderId="6"/>
    <xf numFmtId="0" fontId="55" fillId="7" borderId="0" applyNumberFormat="0" applyBorder="0" applyAlignment="0" applyProtection="0"/>
    <xf numFmtId="179" fontId="23" fillId="0" borderId="0"/>
    <xf numFmtId="0" fontId="30" fillId="25" borderId="0">
      <alignment horizontal="left" wrapText="1" indent="1"/>
    </xf>
    <xf numFmtId="37" fontId="20" fillId="16" borderId="18" applyBorder="0">
      <alignment horizontal="left" vertical="center" indent="2"/>
    </xf>
    <xf numFmtId="0" fontId="2" fillId="28" borderId="0"/>
    <xf numFmtId="0" fontId="31" fillId="0" borderId="0"/>
    <xf numFmtId="0" fontId="1" fillId="7" borderId="14" applyNumberFormat="0" applyFont="0" applyAlignment="0" applyProtection="0"/>
    <xf numFmtId="0" fontId="56" fillId="4" borderId="19" applyNumberFormat="0" applyAlignment="0" applyProtection="0"/>
    <xf numFmtId="183" fontId="43" fillId="0" borderId="0"/>
    <xf numFmtId="182" fontId="39" fillId="0" borderId="0">
      <protection hidden="1"/>
    </xf>
    <xf numFmtId="175" fontId="3" fillId="29" borderId="20"/>
    <xf numFmtId="174" fontId="3" fillId="0" borderId="20" applyFont="0" applyFill="0" applyBorder="0" applyAlignment="0" applyProtection="0">
      <protection locked="0"/>
    </xf>
    <xf numFmtId="178" fontId="42" fillId="0" borderId="0"/>
    <xf numFmtId="2" fontId="32" fillId="0" borderId="0">
      <protection locked="0"/>
    </xf>
    <xf numFmtId="168" fontId="1" fillId="0" borderId="0"/>
    <xf numFmtId="37" fontId="44" fillId="0" borderId="17"/>
    <xf numFmtId="0" fontId="1" fillId="30" borderId="0"/>
    <xf numFmtId="49" fontId="1" fillId="0" borderId="0" applyFont="0" applyFill="0" applyBorder="0" applyAlignment="0" applyProtection="0"/>
    <xf numFmtId="0" fontId="1" fillId="25" borderId="0" applyNumberFormat="0" applyFont="0" applyFill="0" applyBorder="0" applyAlignment="0"/>
    <xf numFmtId="0" fontId="33" fillId="0" borderId="0">
      <alignment horizontal="right"/>
    </xf>
    <xf numFmtId="0" fontId="34" fillId="0" borderId="0"/>
    <xf numFmtId="0" fontId="1" fillId="0" borderId="21" applyNumberFormat="0" applyFont="0" applyBorder="0" applyAlignment="0" applyProtection="0"/>
    <xf numFmtId="37" fontId="44" fillId="0" borderId="6"/>
    <xf numFmtId="37" fontId="44" fillId="0" borderId="22"/>
    <xf numFmtId="170" fontId="1" fillId="0" borderId="0" applyFont="0" applyFill="0" applyBorder="0" applyAlignment="0" applyProtection="0"/>
    <xf numFmtId="172" fontId="1" fillId="0" borderId="0" applyFont="0" applyFill="0" applyBorder="0" applyAlignment="0" applyProtection="0"/>
    <xf numFmtId="0" fontId="57" fillId="0" borderId="0" applyNumberFormat="0" applyFill="0" applyBorder="0" applyAlignment="0" applyProtection="0"/>
    <xf numFmtId="0" fontId="1" fillId="0" borderId="0"/>
  </cellStyleXfs>
  <cellXfs count="220">
    <xf numFmtId="0" fontId="0" fillId="0" borderId="0" xfId="0"/>
    <xf numFmtId="0" fontId="2" fillId="28" borderId="0" xfId="72" applyFont="1" applyProtection="1">
      <protection hidden="1"/>
    </xf>
    <xf numFmtId="0" fontId="2" fillId="31" borderId="23" xfId="72" applyNumberFormat="1" applyFont="1" applyFill="1" applyBorder="1" applyAlignment="1" applyProtection="1">
      <protection hidden="1"/>
    </xf>
    <xf numFmtId="0" fontId="2" fillId="31" borderId="24" xfId="72" applyNumberFormat="1" applyFont="1" applyFill="1" applyBorder="1" applyAlignment="1" applyProtection="1">
      <protection hidden="1"/>
    </xf>
    <xf numFmtId="0" fontId="2" fillId="31" borderId="25" xfId="72" applyNumberFormat="1" applyFont="1" applyFill="1" applyBorder="1" applyAlignment="1" applyProtection="1">
      <protection hidden="1"/>
    </xf>
    <xf numFmtId="0" fontId="2" fillId="31" borderId="26" xfId="72" applyNumberFormat="1" applyFont="1" applyFill="1" applyBorder="1" applyAlignment="1" applyProtection="1">
      <protection hidden="1"/>
    </xf>
    <xf numFmtId="0" fontId="2" fillId="31" borderId="0" xfId="72" applyNumberFormat="1" applyFont="1" applyFill="1" applyBorder="1" applyAlignment="1" applyProtection="1">
      <protection hidden="1"/>
    </xf>
    <xf numFmtId="0" fontId="2" fillId="31" borderId="27" xfId="72" applyNumberFormat="1" applyFont="1" applyFill="1" applyBorder="1" applyAlignment="1" applyProtection="1">
      <protection hidden="1"/>
    </xf>
    <xf numFmtId="0" fontId="2" fillId="31" borderId="26" xfId="72" applyNumberFormat="1" applyFont="1" applyFill="1" applyBorder="1" applyAlignment="1" applyProtection="1">
      <alignment vertical="top"/>
      <protection hidden="1"/>
    </xf>
    <xf numFmtId="0" fontId="2" fillId="31" borderId="0" xfId="72" applyNumberFormat="1" applyFont="1" applyFill="1" applyBorder="1" applyAlignment="1" applyProtection="1">
      <alignment vertical="top"/>
      <protection hidden="1"/>
    </xf>
    <xf numFmtId="0" fontId="2" fillId="31" borderId="27" xfId="72" applyNumberFormat="1" applyFont="1" applyFill="1" applyBorder="1" applyAlignment="1" applyProtection="1">
      <alignment vertical="top"/>
      <protection hidden="1"/>
    </xf>
    <xf numFmtId="0" fontId="2" fillId="28" borderId="0" xfId="72" applyFont="1" applyAlignment="1" applyProtection="1">
      <alignment vertical="top"/>
      <protection hidden="1"/>
    </xf>
    <xf numFmtId="0" fontId="2" fillId="31" borderId="28" xfId="72" applyNumberFormat="1" applyFont="1" applyFill="1" applyBorder="1" applyAlignment="1" applyProtection="1">
      <protection hidden="1"/>
    </xf>
    <xf numFmtId="0" fontId="2" fillId="31" borderId="29" xfId="72" applyNumberFormat="1" applyFont="1" applyFill="1" applyBorder="1" applyAlignment="1" applyProtection="1">
      <protection hidden="1"/>
    </xf>
    <xf numFmtId="0" fontId="2" fillId="31" borderId="30" xfId="72" applyNumberFormat="1" applyFont="1" applyFill="1" applyBorder="1" applyAlignment="1" applyProtection="1">
      <protection hidden="1"/>
    </xf>
    <xf numFmtId="0" fontId="2" fillId="32" borderId="30" xfId="72" applyNumberFormat="1" applyFont="1" applyFill="1" applyBorder="1" applyAlignment="1" applyProtection="1">
      <alignment vertical="center" wrapText="1"/>
      <protection hidden="1"/>
    </xf>
    <xf numFmtId="0" fontId="2" fillId="31" borderId="31" xfId="72" applyNumberFormat="1" applyFont="1" applyFill="1" applyBorder="1" applyAlignment="1" applyProtection="1">
      <protection hidden="1"/>
    </xf>
    <xf numFmtId="0" fontId="2" fillId="31" borderId="26" xfId="72" applyNumberFormat="1" applyFont="1" applyFill="1" applyBorder="1" applyProtection="1">
      <protection hidden="1"/>
    </xf>
    <xf numFmtId="0" fontId="2" fillId="31" borderId="0" xfId="72" applyNumberFormat="1" applyFont="1" applyFill="1" applyBorder="1" applyProtection="1">
      <protection hidden="1"/>
    </xf>
    <xf numFmtId="0" fontId="2" fillId="31" borderId="32" xfId="72" applyNumberFormat="1" applyFont="1" applyFill="1" applyBorder="1" applyProtection="1">
      <protection hidden="1"/>
    </xf>
    <xf numFmtId="0" fontId="5" fillId="31" borderId="0" xfId="72" applyNumberFormat="1" applyFont="1" applyFill="1" applyBorder="1" applyAlignment="1" applyProtection="1">
      <protection hidden="1"/>
    </xf>
    <xf numFmtId="0" fontId="2" fillId="31" borderId="0" xfId="72" applyNumberFormat="1" applyFont="1" applyFill="1" applyBorder="1" applyAlignment="1" applyProtection="1">
      <alignment horizontal="left"/>
      <protection hidden="1"/>
    </xf>
    <xf numFmtId="0" fontId="2" fillId="31" borderId="0" xfId="72" applyNumberFormat="1" applyFont="1" applyFill="1" applyBorder="1" applyAlignment="1" applyProtection="1">
      <alignment horizontal="centerContinuous" vertical="center" wrapText="1"/>
      <protection hidden="1"/>
    </xf>
    <xf numFmtId="0" fontId="2" fillId="32" borderId="0" xfId="72" applyNumberFormat="1" applyFont="1" applyFill="1" applyBorder="1" applyAlignment="1" applyProtection="1">
      <alignment horizontal="centerContinuous" vertical="center" wrapText="1"/>
      <protection hidden="1"/>
    </xf>
    <xf numFmtId="0" fontId="2" fillId="31" borderId="0" xfId="72" applyNumberFormat="1" applyFont="1" applyFill="1" applyBorder="1" applyAlignment="1" applyProtection="1">
      <alignment horizontal="right"/>
      <protection hidden="1"/>
    </xf>
    <xf numFmtId="0" fontId="2" fillId="31" borderId="33" xfId="72" applyNumberFormat="1" applyFont="1" applyFill="1" applyBorder="1" applyProtection="1">
      <protection hidden="1"/>
    </xf>
    <xf numFmtId="0" fontId="2" fillId="31" borderId="27" xfId="72" applyNumberFormat="1" applyFont="1" applyFill="1" applyBorder="1" applyProtection="1">
      <protection hidden="1"/>
    </xf>
    <xf numFmtId="0" fontId="5" fillId="31" borderId="0" xfId="72" applyNumberFormat="1" applyFont="1" applyFill="1" applyBorder="1" applyAlignment="1" applyProtection="1">
      <alignment horizontal="left" vertical="center"/>
      <protection hidden="1"/>
    </xf>
    <xf numFmtId="0" fontId="2" fillId="32" borderId="0" xfId="72" applyNumberFormat="1" applyFont="1" applyFill="1" applyBorder="1" applyAlignment="1" applyProtection="1">
      <alignment horizontal="centerContinuous" vertical="center"/>
      <protection hidden="1"/>
    </xf>
    <xf numFmtId="0" fontId="2" fillId="32" borderId="0" xfId="72" applyNumberFormat="1" applyFont="1" applyFill="1" applyBorder="1" applyProtection="1">
      <protection hidden="1"/>
    </xf>
    <xf numFmtId="0" fontId="5" fillId="32" borderId="0" xfId="72" applyNumberFormat="1" applyFont="1" applyFill="1" applyBorder="1" applyProtection="1">
      <protection hidden="1"/>
    </xf>
    <xf numFmtId="0" fontId="5" fillId="31" borderId="0" xfId="72" applyNumberFormat="1" applyFont="1" applyFill="1" applyBorder="1" applyProtection="1">
      <protection hidden="1"/>
    </xf>
    <xf numFmtId="0" fontId="2" fillId="31" borderId="0" xfId="72" applyNumberFormat="1" applyFont="1" applyFill="1" applyBorder="1" applyAlignment="1" applyProtection="1">
      <alignment horizontal="center"/>
      <protection hidden="1"/>
    </xf>
    <xf numFmtId="10" fontId="2" fillId="31" borderId="0" xfId="72" applyNumberFormat="1" applyFont="1" applyFill="1" applyBorder="1" applyProtection="1">
      <protection hidden="1"/>
    </xf>
    <xf numFmtId="0" fontId="5" fillId="31" borderId="0" xfId="72" applyNumberFormat="1" applyFont="1" applyFill="1" applyBorder="1" applyAlignment="1" applyProtection="1">
      <alignment horizontal="center"/>
      <protection hidden="1"/>
    </xf>
    <xf numFmtId="0" fontId="2" fillId="31" borderId="34" xfId="72" applyNumberFormat="1" applyFont="1" applyFill="1" applyBorder="1" applyProtection="1">
      <protection hidden="1"/>
    </xf>
    <xf numFmtId="0" fontId="2" fillId="31" borderId="35" xfId="72" applyNumberFormat="1" applyFont="1" applyFill="1" applyBorder="1" applyProtection="1">
      <protection hidden="1"/>
    </xf>
    <xf numFmtId="0" fontId="2" fillId="31" borderId="36" xfId="72" applyNumberFormat="1" applyFont="1" applyFill="1" applyBorder="1" applyProtection="1">
      <protection hidden="1"/>
    </xf>
    <xf numFmtId="0" fontId="2" fillId="31" borderId="37" xfId="72" applyNumberFormat="1" applyFont="1" applyFill="1" applyBorder="1" applyProtection="1">
      <protection hidden="1"/>
    </xf>
    <xf numFmtId="0" fontId="2" fillId="31" borderId="38" xfId="72" applyNumberFormat="1" applyFont="1" applyFill="1" applyBorder="1" applyProtection="1">
      <protection hidden="1"/>
    </xf>
    <xf numFmtId="0" fontId="2" fillId="31" borderId="39" xfId="72" applyNumberFormat="1" applyFont="1" applyFill="1" applyBorder="1" applyProtection="1">
      <protection hidden="1"/>
    </xf>
    <xf numFmtId="0" fontId="2" fillId="31" borderId="40" xfId="72" applyNumberFormat="1" applyFont="1" applyFill="1" applyBorder="1" applyProtection="1">
      <protection hidden="1"/>
    </xf>
    <xf numFmtId="0" fontId="2" fillId="31" borderId="41" xfId="72" applyNumberFormat="1" applyFont="1" applyFill="1" applyBorder="1" applyProtection="1">
      <protection hidden="1"/>
    </xf>
    <xf numFmtId="0" fontId="2" fillId="31" borderId="42" xfId="72" applyNumberFormat="1" applyFont="1" applyFill="1" applyBorder="1" applyProtection="1">
      <protection hidden="1"/>
    </xf>
    <xf numFmtId="0" fontId="2" fillId="31" borderId="28" xfId="72" applyNumberFormat="1" applyFont="1" applyFill="1" applyBorder="1" applyProtection="1">
      <protection hidden="1"/>
    </xf>
    <xf numFmtId="0" fontId="2" fillId="16" borderId="26" xfId="72" applyNumberFormat="1" applyFont="1" applyFill="1" applyBorder="1" applyAlignment="1" applyProtection="1">
      <protection hidden="1"/>
    </xf>
    <xf numFmtId="0" fontId="2" fillId="16" borderId="0" xfId="72" applyNumberFormat="1" applyFont="1" applyFill="1" applyBorder="1" applyAlignment="1" applyProtection="1">
      <protection hidden="1"/>
    </xf>
    <xf numFmtId="0" fontId="2" fillId="16" borderId="27" xfId="72" applyNumberFormat="1" applyFont="1" applyFill="1" applyBorder="1" applyAlignment="1" applyProtection="1">
      <protection hidden="1"/>
    </xf>
    <xf numFmtId="0" fontId="2" fillId="31" borderId="29" xfId="72" applyNumberFormat="1" applyFont="1" applyFill="1" applyBorder="1" applyAlignment="1" applyProtection="1">
      <alignment horizontal="centerContinuous"/>
      <protection hidden="1"/>
    </xf>
    <xf numFmtId="0" fontId="2" fillId="31" borderId="30" xfId="72" applyNumberFormat="1" applyFont="1" applyFill="1" applyBorder="1" applyAlignment="1" applyProtection="1">
      <alignment horizontal="centerContinuous"/>
      <protection hidden="1"/>
    </xf>
    <xf numFmtId="0" fontId="2" fillId="31" borderId="30" xfId="72" applyNumberFormat="1" applyFont="1" applyFill="1" applyBorder="1" applyProtection="1">
      <protection hidden="1"/>
    </xf>
    <xf numFmtId="0" fontId="2" fillId="31" borderId="31" xfId="72" applyNumberFormat="1" applyFont="1" applyFill="1" applyBorder="1" applyProtection="1">
      <protection hidden="1"/>
    </xf>
    <xf numFmtId="0" fontId="2" fillId="16" borderId="27" xfId="72" applyNumberFormat="1" applyFont="1" applyFill="1" applyBorder="1" applyProtection="1">
      <protection hidden="1"/>
    </xf>
    <xf numFmtId="0" fontId="6" fillId="31" borderId="43" xfId="72" applyNumberFormat="1" applyFont="1" applyFill="1" applyBorder="1" applyAlignment="1" applyProtection="1">
      <alignment horizontal="centerContinuous"/>
      <protection hidden="1"/>
    </xf>
    <xf numFmtId="0" fontId="5" fillId="31" borderId="44" xfId="72" applyNumberFormat="1" applyFont="1" applyFill="1" applyBorder="1" applyAlignment="1" applyProtection="1">
      <alignment horizontal="centerContinuous"/>
      <protection hidden="1"/>
    </xf>
    <xf numFmtId="0" fontId="5" fillId="31" borderId="45" xfId="72" applyNumberFormat="1" applyFont="1" applyFill="1" applyBorder="1" applyAlignment="1" applyProtection="1">
      <alignment horizontal="centerContinuous"/>
      <protection hidden="1"/>
    </xf>
    <xf numFmtId="0" fontId="6" fillId="31" borderId="46" xfId="72" applyNumberFormat="1" applyFont="1" applyFill="1" applyBorder="1" applyAlignment="1" applyProtection="1">
      <alignment horizontal="center"/>
      <protection hidden="1"/>
    </xf>
    <xf numFmtId="0" fontId="5" fillId="31" borderId="46" xfId="72" applyNumberFormat="1" applyFont="1" applyFill="1" applyBorder="1" applyAlignment="1" applyProtection="1">
      <alignment horizontal="center"/>
      <protection hidden="1"/>
    </xf>
    <xf numFmtId="0" fontId="2" fillId="31" borderId="32" xfId="72" applyNumberFormat="1" applyFont="1" applyFill="1" applyBorder="1" applyAlignment="1" applyProtection="1">
      <alignment horizontal="centerContinuous"/>
      <protection hidden="1"/>
    </xf>
    <xf numFmtId="0" fontId="2" fillId="31" borderId="0" xfId="72" applyNumberFormat="1" applyFont="1" applyFill="1" applyBorder="1" applyAlignment="1" applyProtection="1">
      <alignment horizontal="centerContinuous"/>
      <protection hidden="1"/>
    </xf>
    <xf numFmtId="0" fontId="5" fillId="31" borderId="0" xfId="72" applyNumberFormat="1" applyFont="1" applyFill="1" applyBorder="1" applyAlignment="1" applyProtection="1">
      <alignment horizontal="right"/>
      <protection hidden="1"/>
    </xf>
    <xf numFmtId="37" fontId="2" fillId="31" borderId="0" xfId="72" applyNumberFormat="1" applyFont="1" applyFill="1" applyBorder="1" applyProtection="1">
      <protection hidden="1"/>
    </xf>
    <xf numFmtId="9" fontId="2" fillId="31" borderId="0" xfId="72" applyNumberFormat="1" applyFont="1" applyFill="1" applyBorder="1" applyProtection="1">
      <protection hidden="1"/>
    </xf>
    <xf numFmtId="0" fontId="6" fillId="31" borderId="47" xfId="72" applyNumberFormat="1" applyFont="1" applyFill="1" applyBorder="1" applyAlignment="1" applyProtection="1">
      <alignment horizontal="center"/>
      <protection hidden="1"/>
    </xf>
    <xf numFmtId="0" fontId="6" fillId="31" borderId="44" xfId="72" applyNumberFormat="1" applyFont="1" applyFill="1" applyBorder="1" applyAlignment="1" applyProtection="1">
      <alignment horizontal="centerContinuous"/>
      <protection hidden="1"/>
    </xf>
    <xf numFmtId="0" fontId="5" fillId="31" borderId="48" xfId="72" applyNumberFormat="1" applyFont="1" applyFill="1" applyBorder="1" applyAlignment="1" applyProtection="1">
      <alignment horizontal="centerContinuous"/>
      <protection hidden="1"/>
    </xf>
    <xf numFmtId="0" fontId="5" fillId="31" borderId="47" xfId="72" applyNumberFormat="1" applyFont="1" applyFill="1" applyBorder="1" applyAlignment="1" applyProtection="1">
      <alignment horizontal="center"/>
      <protection hidden="1"/>
    </xf>
    <xf numFmtId="0" fontId="5" fillId="31" borderId="49" xfId="72" applyNumberFormat="1" applyFont="1" applyFill="1" applyBorder="1" applyAlignment="1" applyProtection="1">
      <alignment horizontal="center"/>
      <protection hidden="1"/>
    </xf>
    <xf numFmtId="0" fontId="2" fillId="31" borderId="50" xfId="72" applyNumberFormat="1" applyFont="1" applyFill="1" applyBorder="1" applyProtection="1">
      <protection hidden="1"/>
    </xf>
    <xf numFmtId="0" fontId="2" fillId="31" borderId="51" xfId="72" applyNumberFormat="1" applyFont="1" applyFill="1" applyBorder="1" applyProtection="1">
      <protection hidden="1"/>
    </xf>
    <xf numFmtId="0" fontId="2" fillId="31" borderId="52" xfId="72" applyNumberFormat="1" applyFont="1" applyFill="1" applyBorder="1" applyProtection="1">
      <protection hidden="1"/>
    </xf>
    <xf numFmtId="0" fontId="2" fillId="31" borderId="53" xfId="72" applyNumberFormat="1" applyFont="1" applyFill="1" applyBorder="1" applyProtection="1">
      <protection hidden="1"/>
    </xf>
    <xf numFmtId="169" fontId="2" fillId="31" borderId="0" xfId="72" applyNumberFormat="1" applyFont="1" applyFill="1" applyBorder="1" applyProtection="1">
      <protection hidden="1"/>
    </xf>
    <xf numFmtId="37" fontId="2" fillId="31" borderId="52" xfId="72" applyNumberFormat="1" applyFont="1" applyFill="1" applyBorder="1" applyProtection="1">
      <protection hidden="1"/>
    </xf>
    <xf numFmtId="37" fontId="2" fillId="31" borderId="53" xfId="72" applyNumberFormat="1" applyFont="1" applyFill="1" applyBorder="1" applyProtection="1">
      <protection hidden="1"/>
    </xf>
    <xf numFmtId="37" fontId="6" fillId="31" borderId="46" xfId="72" applyNumberFormat="1" applyFont="1" applyFill="1" applyBorder="1" applyAlignment="1" applyProtection="1">
      <alignment horizontal="center"/>
      <protection hidden="1"/>
    </xf>
    <xf numFmtId="37" fontId="5" fillId="31" borderId="44" xfId="72" applyNumberFormat="1" applyFont="1" applyFill="1" applyBorder="1" applyAlignment="1" applyProtection="1">
      <alignment horizontal="centerContinuous"/>
      <protection hidden="1"/>
    </xf>
    <xf numFmtId="37" fontId="5" fillId="31" borderId="48" xfId="72" applyNumberFormat="1" applyFont="1" applyFill="1" applyBorder="1" applyAlignment="1" applyProtection="1">
      <alignment horizontal="centerContinuous"/>
      <protection hidden="1"/>
    </xf>
    <xf numFmtId="1" fontId="5" fillId="31" borderId="46" xfId="72" applyNumberFormat="1" applyFont="1" applyFill="1" applyBorder="1" applyAlignment="1" applyProtection="1">
      <alignment horizontal="center"/>
      <protection hidden="1"/>
    </xf>
    <xf numFmtId="1" fontId="2" fillId="31" borderId="52" xfId="72" applyNumberFormat="1" applyFont="1" applyFill="1" applyBorder="1" applyAlignment="1" applyProtection="1">
      <alignment horizontal="center"/>
      <protection hidden="1"/>
    </xf>
    <xf numFmtId="1" fontId="2" fillId="31" borderId="0" xfId="72" applyNumberFormat="1" applyFont="1" applyFill="1" applyBorder="1" applyAlignment="1" applyProtection="1">
      <alignment horizontal="center"/>
      <protection hidden="1"/>
    </xf>
    <xf numFmtId="1" fontId="2" fillId="31" borderId="53" xfId="72" applyNumberFormat="1" applyFont="1" applyFill="1" applyBorder="1" applyAlignment="1" applyProtection="1">
      <alignment horizontal="center"/>
      <protection hidden="1"/>
    </xf>
    <xf numFmtId="164" fontId="2" fillId="31" borderId="52" xfId="72" applyNumberFormat="1" applyFont="1" applyFill="1" applyBorder="1" applyProtection="1">
      <protection hidden="1"/>
    </xf>
    <xf numFmtId="164" fontId="2" fillId="31" borderId="0" xfId="72" applyNumberFormat="1" applyFont="1" applyFill="1" applyBorder="1" applyProtection="1">
      <protection hidden="1"/>
    </xf>
    <xf numFmtId="164" fontId="2" fillId="31" borderId="53" xfId="72" applyNumberFormat="1" applyFont="1" applyFill="1" applyBorder="1" applyProtection="1">
      <protection hidden="1"/>
    </xf>
    <xf numFmtId="0" fontId="2" fillId="31" borderId="54" xfId="72" applyNumberFormat="1" applyFont="1" applyFill="1" applyBorder="1" applyProtection="1">
      <protection hidden="1"/>
    </xf>
    <xf numFmtId="0" fontId="2" fillId="31" borderId="55" xfId="72" applyNumberFormat="1" applyFont="1" applyFill="1" applyBorder="1" applyProtection="1">
      <protection hidden="1"/>
    </xf>
    <xf numFmtId="0" fontId="2" fillId="31" borderId="56" xfId="72" applyNumberFormat="1" applyFont="1" applyFill="1" applyBorder="1" applyProtection="1">
      <protection hidden="1"/>
    </xf>
    <xf numFmtId="0" fontId="2" fillId="31" borderId="57" xfId="72" applyNumberFormat="1" applyFont="1" applyFill="1" applyBorder="1" applyProtection="1">
      <protection hidden="1"/>
    </xf>
    <xf numFmtId="0" fontId="2" fillId="31" borderId="0" xfId="72" applyFont="1" applyFill="1" applyBorder="1" applyProtection="1">
      <protection hidden="1"/>
    </xf>
    <xf numFmtId="0" fontId="2" fillId="31" borderId="28" xfId="72" applyFont="1" applyFill="1" applyBorder="1" applyProtection="1">
      <protection hidden="1"/>
    </xf>
    <xf numFmtId="0" fontId="2" fillId="31" borderId="58" xfId="72" applyNumberFormat="1" applyFont="1" applyFill="1" applyBorder="1" applyProtection="1">
      <protection hidden="1"/>
    </xf>
    <xf numFmtId="0" fontId="2" fillId="31" borderId="59" xfId="72" applyNumberFormat="1" applyFont="1" applyFill="1" applyBorder="1" applyProtection="1">
      <protection hidden="1"/>
    </xf>
    <xf numFmtId="0" fontId="2" fillId="31" borderId="59" xfId="72" applyFont="1" applyFill="1" applyBorder="1" applyProtection="1">
      <protection hidden="1"/>
    </xf>
    <xf numFmtId="0" fontId="2" fillId="31" borderId="60" xfId="72" applyNumberFormat="1" applyFont="1" applyFill="1" applyBorder="1" applyProtection="1">
      <protection hidden="1"/>
    </xf>
    <xf numFmtId="0" fontId="2" fillId="28" borderId="0" xfId="72" applyProtection="1">
      <protection hidden="1"/>
    </xf>
    <xf numFmtId="0" fontId="2" fillId="16" borderId="23" xfId="72" applyNumberFormat="1" applyFont="1" applyFill="1" applyBorder="1" applyAlignment="1" applyProtection="1">
      <protection hidden="1"/>
    </xf>
    <xf numFmtId="0" fontId="2" fillId="16" borderId="24" xfId="72" applyNumberFormat="1" applyFont="1" applyFill="1" applyBorder="1" applyAlignment="1" applyProtection="1">
      <protection hidden="1"/>
    </xf>
    <xf numFmtId="0" fontId="2" fillId="16" borderId="25" xfId="72" applyNumberFormat="1" applyFont="1" applyFill="1" applyBorder="1" applyAlignment="1" applyProtection="1">
      <protection hidden="1"/>
    </xf>
    <xf numFmtId="0" fontId="2" fillId="16" borderId="28" xfId="72" applyNumberFormat="1" applyFont="1" applyFill="1" applyBorder="1" applyAlignment="1" applyProtection="1">
      <protection hidden="1"/>
    </xf>
    <xf numFmtId="0" fontId="2" fillId="16" borderId="28" xfId="72" applyNumberFormat="1" applyFont="1" applyFill="1" applyBorder="1" applyAlignment="1" applyProtection="1">
      <alignment vertical="top"/>
      <protection hidden="1"/>
    </xf>
    <xf numFmtId="0" fontId="2" fillId="16" borderId="0" xfId="72" applyNumberFormat="1" applyFont="1" applyFill="1" applyBorder="1" applyAlignment="1" applyProtection="1">
      <alignment vertical="top"/>
      <protection hidden="1"/>
    </xf>
    <xf numFmtId="0" fontId="2" fillId="34" borderId="0" xfId="72" applyFont="1" applyFill="1" applyProtection="1">
      <protection hidden="1"/>
    </xf>
    <xf numFmtId="0" fontId="2" fillId="16" borderId="29" xfId="72" applyNumberFormat="1" applyFont="1" applyFill="1" applyBorder="1" applyAlignment="1" applyProtection="1">
      <protection hidden="1"/>
    </xf>
    <xf numFmtId="0" fontId="2" fillId="16" borderId="30" xfId="72" applyNumberFormat="1" applyFont="1" applyFill="1" applyBorder="1" applyAlignment="1" applyProtection="1">
      <protection hidden="1"/>
    </xf>
    <xf numFmtId="0" fontId="2" fillId="16" borderId="31" xfId="72" applyNumberFormat="1" applyFont="1" applyFill="1" applyBorder="1" applyAlignment="1" applyProtection="1">
      <protection hidden="1"/>
    </xf>
    <xf numFmtId="0" fontId="2" fillId="16" borderId="32" xfId="72" applyNumberFormat="1" applyFont="1" applyFill="1" applyBorder="1" applyAlignment="1" applyProtection="1">
      <protection hidden="1"/>
    </xf>
    <xf numFmtId="0" fontId="10" fillId="16" borderId="43" xfId="72" applyNumberFormat="1" applyFont="1" applyFill="1" applyBorder="1" applyAlignment="1" applyProtection="1">
      <alignment horizontal="centerContinuous"/>
      <protection hidden="1"/>
    </xf>
    <xf numFmtId="0" fontId="11" fillId="16" borderId="44" xfId="72" applyNumberFormat="1" applyFont="1" applyFill="1" applyBorder="1" applyAlignment="1" applyProtection="1">
      <alignment horizontal="centerContinuous"/>
      <protection hidden="1"/>
    </xf>
    <xf numFmtId="0" fontId="11" fillId="16" borderId="45" xfId="72" applyNumberFormat="1" applyFont="1" applyFill="1" applyBorder="1" applyAlignment="1" applyProtection="1">
      <alignment horizontal="centerContinuous"/>
      <protection hidden="1"/>
    </xf>
    <xf numFmtId="0" fontId="10" fillId="16" borderId="46" xfId="72" applyNumberFormat="1" applyFont="1" applyFill="1" applyBorder="1" applyAlignment="1" applyProtection="1">
      <alignment horizontal="center"/>
      <protection hidden="1"/>
    </xf>
    <xf numFmtId="0" fontId="2" fillId="16" borderId="33" xfId="72" applyNumberFormat="1" applyFont="1" applyFill="1" applyBorder="1" applyAlignment="1" applyProtection="1">
      <protection hidden="1"/>
    </xf>
    <xf numFmtId="0" fontId="11" fillId="16" borderId="46" xfId="72" applyNumberFormat="1" applyFont="1" applyFill="1" applyBorder="1" applyAlignment="1" applyProtection="1">
      <alignment horizontal="center"/>
      <protection hidden="1"/>
    </xf>
    <xf numFmtId="0" fontId="11" fillId="16" borderId="0" xfId="72" applyNumberFormat="1" applyFont="1" applyFill="1" applyBorder="1" applyAlignment="1" applyProtection="1">
      <protection hidden="1"/>
    </xf>
    <xf numFmtId="0" fontId="2" fillId="16" borderId="32" xfId="72" applyNumberFormat="1" applyFont="1" applyFill="1" applyBorder="1" applyAlignment="1" applyProtection="1">
      <alignment vertical="top"/>
      <protection hidden="1"/>
    </xf>
    <xf numFmtId="165" fontId="2" fillId="16" borderId="0" xfId="72" applyNumberFormat="1" applyFont="1" applyFill="1" applyBorder="1" applyAlignment="1" applyProtection="1">
      <protection hidden="1"/>
    </xf>
    <xf numFmtId="0" fontId="11" fillId="16" borderId="0" xfId="72" applyNumberFormat="1" applyFont="1" applyFill="1" applyBorder="1" applyAlignment="1" applyProtection="1">
      <alignment horizontal="right"/>
      <protection hidden="1"/>
    </xf>
    <xf numFmtId="0" fontId="12" fillId="16" borderId="0" xfId="72" applyNumberFormat="1" applyFont="1" applyFill="1" applyBorder="1" applyAlignment="1" applyProtection="1">
      <alignment horizontal="right"/>
      <protection hidden="1"/>
    </xf>
    <xf numFmtId="0" fontId="2" fillId="16" borderId="40" xfId="72" applyNumberFormat="1" applyFont="1" applyFill="1" applyBorder="1" applyAlignment="1" applyProtection="1">
      <protection hidden="1"/>
    </xf>
    <xf numFmtId="0" fontId="2" fillId="16" borderId="41" xfId="72" applyNumberFormat="1" applyFont="1" applyFill="1" applyBorder="1" applyAlignment="1" applyProtection="1">
      <protection hidden="1"/>
    </xf>
    <xf numFmtId="0" fontId="2" fillId="16" borderId="42" xfId="72" applyNumberFormat="1" applyFont="1" applyFill="1" applyBorder="1" applyAlignment="1" applyProtection="1">
      <protection hidden="1"/>
    </xf>
    <xf numFmtId="0" fontId="2" fillId="16" borderId="0" xfId="72" applyFont="1" applyFill="1" applyBorder="1" applyAlignment="1" applyProtection="1">
      <protection hidden="1"/>
    </xf>
    <xf numFmtId="0" fontId="2" fillId="16" borderId="28" xfId="72" applyFont="1" applyFill="1" applyBorder="1" applyAlignment="1" applyProtection="1">
      <protection hidden="1"/>
    </xf>
    <xf numFmtId="0" fontId="2" fillId="16" borderId="58" xfId="72" applyNumberFormat="1" applyFont="1" applyFill="1" applyBorder="1" applyAlignment="1" applyProtection="1">
      <protection hidden="1"/>
    </xf>
    <xf numFmtId="0" fontId="2" fillId="16" borderId="59" xfId="72" applyNumberFormat="1" applyFont="1" applyFill="1" applyBorder="1" applyAlignment="1" applyProtection="1">
      <protection hidden="1"/>
    </xf>
    <xf numFmtId="0" fontId="2" fillId="16" borderId="60" xfId="72" applyNumberFormat="1" applyFont="1" applyFill="1" applyBorder="1" applyAlignment="1" applyProtection="1">
      <protection hidden="1"/>
    </xf>
    <xf numFmtId="0" fontId="2" fillId="28" borderId="0" xfId="72"/>
    <xf numFmtId="0" fontId="2" fillId="16" borderId="23" xfId="72" applyNumberFormat="1" applyFont="1" applyFill="1" applyBorder="1" applyAlignment="1"/>
    <xf numFmtId="0" fontId="2" fillId="16" borderId="24" xfId="72" applyNumberFormat="1" applyFont="1" applyFill="1" applyBorder="1" applyAlignment="1"/>
    <xf numFmtId="0" fontId="2" fillId="16" borderId="25" xfId="72" applyNumberFormat="1" applyFont="1" applyFill="1" applyBorder="1" applyAlignment="1"/>
    <xf numFmtId="0" fontId="2" fillId="16" borderId="26" xfId="72" applyNumberFormat="1" applyFont="1" applyFill="1" applyBorder="1" applyAlignment="1"/>
    <xf numFmtId="0" fontId="2" fillId="16" borderId="0" xfId="72" applyNumberFormat="1" applyFont="1" applyFill="1" applyBorder="1" applyAlignment="1"/>
    <xf numFmtId="0" fontId="2" fillId="16" borderId="27" xfId="72" applyNumberFormat="1" applyFont="1" applyFill="1" applyBorder="1" applyAlignment="1"/>
    <xf numFmtId="0" fontId="2" fillId="16" borderId="28" xfId="72" applyNumberFormat="1" applyFont="1" applyFill="1" applyBorder="1" applyAlignment="1"/>
    <xf numFmtId="0" fontId="2" fillId="16" borderId="26" xfId="72" applyNumberFormat="1" applyFont="1" applyFill="1" applyBorder="1"/>
    <xf numFmtId="0" fontId="2" fillId="16" borderId="0" xfId="72" applyNumberFormat="1" applyFont="1" applyFill="1" applyBorder="1"/>
    <xf numFmtId="0" fontId="2" fillId="16" borderId="27" xfId="72" applyNumberFormat="1" applyFont="1" applyFill="1" applyBorder="1"/>
    <xf numFmtId="0" fontId="2" fillId="16" borderId="28" xfId="72" applyNumberFormat="1" applyFont="1" applyFill="1" applyBorder="1"/>
    <xf numFmtId="0" fontId="2" fillId="16" borderId="58" xfId="72" applyNumberFormat="1" applyFont="1" applyFill="1" applyBorder="1"/>
    <xf numFmtId="0" fontId="2" fillId="16" borderId="59" xfId="72" applyNumberFormat="1" applyFont="1" applyFill="1" applyBorder="1"/>
    <xf numFmtId="0" fontId="2" fillId="16" borderId="60" xfId="72" applyNumberFormat="1" applyFont="1" applyFill="1" applyBorder="1"/>
    <xf numFmtId="0" fontId="2" fillId="16" borderId="23" xfId="72" applyNumberFormat="1" applyFill="1" applyBorder="1" applyAlignment="1"/>
    <xf numFmtId="0" fontId="2" fillId="16" borderId="24" xfId="72" applyNumberFormat="1" applyFill="1" applyBorder="1" applyAlignment="1"/>
    <xf numFmtId="0" fontId="2" fillId="16" borderId="25" xfId="72" applyNumberFormat="1" applyFill="1" applyBorder="1" applyAlignment="1"/>
    <xf numFmtId="0" fontId="2" fillId="16" borderId="26" xfId="72" applyNumberFormat="1" applyFill="1" applyBorder="1" applyAlignment="1"/>
    <xf numFmtId="0" fontId="2" fillId="16" borderId="0" xfId="72" applyNumberFormat="1" applyFill="1" applyBorder="1" applyAlignment="1"/>
    <xf numFmtId="0" fontId="2" fillId="16" borderId="27" xfId="72" applyNumberFormat="1" applyFill="1" applyBorder="1" applyAlignment="1"/>
    <xf numFmtId="0" fontId="14" fillId="16" borderId="0" xfId="72" applyNumberFormat="1" applyFont="1" applyFill="1" applyBorder="1" applyAlignment="1"/>
    <xf numFmtId="0" fontId="2" fillId="16" borderId="28" xfId="72" applyNumberFormat="1" applyFill="1" applyBorder="1" applyAlignment="1"/>
    <xf numFmtId="0" fontId="14" fillId="16" borderId="28" xfId="72" applyNumberFormat="1" applyFont="1" applyFill="1" applyBorder="1" applyAlignment="1"/>
    <xf numFmtId="0" fontId="2" fillId="16" borderId="26" xfId="72" applyNumberFormat="1" applyFill="1" applyBorder="1"/>
    <xf numFmtId="0" fontId="2" fillId="16" borderId="0" xfId="72" applyNumberFormat="1" applyFill="1" applyBorder="1"/>
    <xf numFmtId="0" fontId="14" fillId="16" borderId="0" xfId="72" applyNumberFormat="1" applyFont="1" applyFill="1" applyBorder="1"/>
    <xf numFmtId="0" fontId="2" fillId="16" borderId="27" xfId="72" applyNumberFormat="1" applyFill="1" applyBorder="1"/>
    <xf numFmtId="0" fontId="2" fillId="16" borderId="0" xfId="72" applyFill="1" applyBorder="1"/>
    <xf numFmtId="0" fontId="15" fillId="16" borderId="0" xfId="72" applyNumberFormat="1" applyFont="1" applyFill="1" applyBorder="1"/>
    <xf numFmtId="0" fontId="16" fillId="16" borderId="0" xfId="72" applyNumberFormat="1" applyFont="1" applyFill="1" applyBorder="1"/>
    <xf numFmtId="0" fontId="2" fillId="16" borderId="28" xfId="72" applyNumberFormat="1" applyFill="1" applyBorder="1"/>
    <xf numFmtId="0" fontId="2" fillId="16" borderId="58" xfId="72" applyNumberFormat="1" applyFill="1" applyBorder="1"/>
    <xf numFmtId="0" fontId="2" fillId="16" borderId="59" xfId="72" applyNumberFormat="1" applyFill="1" applyBorder="1"/>
    <xf numFmtId="0" fontId="2" fillId="16" borderId="60" xfId="72" applyNumberFormat="1" applyFill="1" applyBorder="1"/>
    <xf numFmtId="0" fontId="2" fillId="28" borderId="0" xfId="72" applyFont="1" applyFill="1" applyProtection="1">
      <protection hidden="1"/>
    </xf>
    <xf numFmtId="0" fontId="0" fillId="24" borderId="0" xfId="0" applyFill="1"/>
    <xf numFmtId="0" fontId="2" fillId="28" borderId="27" xfId="72" applyFont="1" applyBorder="1" applyProtection="1">
      <protection hidden="1"/>
    </xf>
    <xf numFmtId="0" fontId="2" fillId="28" borderId="27" xfId="72" applyFont="1" applyBorder="1" applyAlignment="1" applyProtection="1">
      <alignment vertical="top"/>
      <protection hidden="1"/>
    </xf>
    <xf numFmtId="164" fontId="17" fillId="33" borderId="46" xfId="72" applyNumberFormat="1" applyFont="1" applyFill="1" applyBorder="1" applyProtection="1">
      <protection locked="0"/>
    </xf>
    <xf numFmtId="0" fontId="17" fillId="33" borderId="46" xfId="72" applyNumberFormat="1" applyFont="1" applyFill="1" applyBorder="1" applyProtection="1">
      <protection locked="0"/>
    </xf>
    <xf numFmtId="164" fontId="17" fillId="26" borderId="47" xfId="72" applyNumberFormat="1" applyFont="1" applyFill="1" applyBorder="1" applyAlignment="1" applyProtection="1">
      <protection locked="0"/>
    </xf>
    <xf numFmtId="164" fontId="17" fillId="26" borderId="46" xfId="72" applyNumberFormat="1" applyFont="1" applyFill="1" applyBorder="1" applyProtection="1">
      <protection locked="0"/>
    </xf>
    <xf numFmtId="164" fontId="17" fillId="26" borderId="49" xfId="72" applyNumberFormat="1" applyFont="1" applyFill="1" applyBorder="1" applyProtection="1">
      <protection locked="0"/>
    </xf>
    <xf numFmtId="164" fontId="17" fillId="26" borderId="47" xfId="72" applyNumberFormat="1" applyFont="1" applyFill="1" applyBorder="1" applyProtection="1">
      <protection locked="0"/>
    </xf>
    <xf numFmtId="0" fontId="17" fillId="31" borderId="50" xfId="72" applyNumberFormat="1" applyFont="1" applyFill="1" applyBorder="1" applyProtection="1">
      <protection hidden="1"/>
    </xf>
    <xf numFmtId="0" fontId="17" fillId="26" borderId="46" xfId="72" applyNumberFormat="1" applyFont="1" applyFill="1" applyBorder="1" applyAlignment="1" applyProtection="1">
      <alignment horizontal="center" vertical="center"/>
      <protection locked="0"/>
    </xf>
    <xf numFmtId="164" fontId="17" fillId="16" borderId="46" xfId="72" applyNumberFormat="1" applyFont="1" applyFill="1" applyBorder="1" applyAlignment="1" applyProtection="1">
      <alignment horizontal="center"/>
      <protection locked="0"/>
    </xf>
    <xf numFmtId="0" fontId="17" fillId="26" borderId="61" xfId="72" applyNumberFormat="1" applyFont="1" applyFill="1" applyBorder="1" applyAlignment="1" applyProtection="1">
      <alignment horizontal="center" vertical="center"/>
      <protection locked="0"/>
    </xf>
    <xf numFmtId="10" fontId="17" fillId="26" borderId="46" xfId="72" applyNumberFormat="1" applyFont="1" applyFill="1" applyBorder="1" applyProtection="1">
      <protection locked="0"/>
    </xf>
    <xf numFmtId="0" fontId="5" fillId="16" borderId="0" xfId="72" applyNumberFormat="1" applyFont="1" applyFill="1" applyBorder="1" applyAlignment="1" applyProtection="1">
      <alignment horizontal="center"/>
      <protection hidden="1"/>
    </xf>
    <xf numFmtId="0" fontId="11" fillId="16" borderId="43" xfId="72" applyNumberFormat="1" applyFont="1" applyFill="1" applyBorder="1" applyAlignment="1" applyProtection="1">
      <alignment horizontal="center"/>
      <protection hidden="1"/>
    </xf>
    <xf numFmtId="0" fontId="5" fillId="16" borderId="62" xfId="72" applyNumberFormat="1" applyFont="1" applyFill="1" applyBorder="1" applyAlignment="1" applyProtection="1">
      <alignment horizontal="center"/>
      <protection hidden="1"/>
    </xf>
    <xf numFmtId="0" fontId="10" fillId="16" borderId="43" xfId="72" applyNumberFormat="1" applyFont="1" applyFill="1" applyBorder="1" applyAlignment="1" applyProtection="1">
      <alignment horizontal="centerContinuous" vertical="center"/>
      <protection hidden="1"/>
    </xf>
    <xf numFmtId="0" fontId="11" fillId="16" borderId="44" xfId="72" applyNumberFormat="1" applyFont="1" applyFill="1" applyBorder="1" applyAlignment="1" applyProtection="1">
      <alignment horizontal="centerContinuous" vertical="center"/>
      <protection hidden="1"/>
    </xf>
    <xf numFmtId="0" fontId="11" fillId="16" borderId="45" xfId="72" applyNumberFormat="1" applyFont="1" applyFill="1" applyBorder="1" applyAlignment="1" applyProtection="1">
      <alignment horizontal="centerContinuous" vertical="center"/>
      <protection hidden="1"/>
    </xf>
    <xf numFmtId="0" fontId="10" fillId="16" borderId="63" xfId="72" applyNumberFormat="1" applyFont="1" applyFill="1" applyBorder="1" applyAlignment="1" applyProtection="1">
      <alignment horizontal="centerContinuous" vertical="center"/>
      <protection hidden="1"/>
    </xf>
    <xf numFmtId="0" fontId="17" fillId="16" borderId="46" xfId="72" applyNumberFormat="1" applyFont="1" applyFill="1" applyBorder="1" applyAlignment="1" applyProtection="1">
      <alignment horizontal="center"/>
      <protection locked="0"/>
    </xf>
    <xf numFmtId="0" fontId="5" fillId="32" borderId="0" xfId="72" applyNumberFormat="1" applyFont="1" applyFill="1" applyBorder="1" applyAlignment="1" applyProtection="1">
      <alignment horizontal="left" vertical="center"/>
      <protection hidden="1"/>
    </xf>
    <xf numFmtId="0" fontId="11" fillId="16" borderId="63" xfId="72" applyNumberFormat="1" applyFont="1" applyFill="1" applyBorder="1" applyAlignment="1" applyProtection="1">
      <alignment horizontal="center"/>
      <protection hidden="1"/>
    </xf>
    <xf numFmtId="0" fontId="5" fillId="16" borderId="46" xfId="72" applyNumberFormat="1" applyFont="1" applyFill="1" applyBorder="1" applyAlignment="1" applyProtection="1">
      <alignment horizontal="center"/>
      <protection hidden="1"/>
    </xf>
    <xf numFmtId="0" fontId="2" fillId="34" borderId="0" xfId="72" applyFont="1" applyFill="1" applyBorder="1" applyProtection="1">
      <protection hidden="1"/>
    </xf>
    <xf numFmtId="0" fontId="19" fillId="31" borderId="0" xfId="62" applyNumberFormat="1" applyFill="1" applyBorder="1" applyAlignment="1" applyProtection="1">
      <protection hidden="1"/>
    </xf>
    <xf numFmtId="0" fontId="45" fillId="16" borderId="0" xfId="72" applyNumberFormat="1" applyFont="1" applyFill="1" applyBorder="1" applyAlignment="1" applyProtection="1">
      <alignment horizontal="center" vertical="center"/>
      <protection hidden="1"/>
    </xf>
    <xf numFmtId="164" fontId="2" fillId="36" borderId="46" xfId="72" applyNumberFormat="1" applyFont="1" applyFill="1" applyBorder="1" applyProtection="1">
      <protection hidden="1"/>
    </xf>
    <xf numFmtId="0" fontId="2" fillId="36" borderId="0" xfId="72" applyNumberFormat="1" applyFont="1" applyFill="1" applyBorder="1" applyAlignment="1" applyProtection="1">
      <protection hidden="1"/>
    </xf>
    <xf numFmtId="0" fontId="0" fillId="36" borderId="0" xfId="0" applyFill="1"/>
    <xf numFmtId="10" fontId="2" fillId="36" borderId="46" xfId="72" applyNumberFormat="1" applyFont="1" applyFill="1" applyBorder="1" applyProtection="1">
      <protection hidden="1"/>
    </xf>
    <xf numFmtId="9" fontId="59" fillId="33" borderId="46" xfId="72" applyNumberFormat="1" applyFont="1" applyFill="1" applyBorder="1" applyAlignment="1" applyProtection="1">
      <alignment horizontal="center"/>
      <protection locked="0"/>
    </xf>
    <xf numFmtId="164" fontId="2" fillId="36" borderId="49" xfId="72" applyNumberFormat="1" applyFont="1" applyFill="1" applyBorder="1" applyProtection="1">
      <protection hidden="1"/>
    </xf>
    <xf numFmtId="164" fontId="2" fillId="36" borderId="47" xfId="72" applyNumberFormat="1" applyFont="1" applyFill="1" applyBorder="1" applyAlignment="1" applyProtection="1">
      <protection hidden="1"/>
    </xf>
    <xf numFmtId="164" fontId="2" fillId="36" borderId="47" xfId="72" applyNumberFormat="1" applyFont="1" applyFill="1" applyBorder="1" applyProtection="1">
      <protection hidden="1"/>
    </xf>
    <xf numFmtId="0" fontId="2" fillId="36" borderId="46" xfId="72" applyNumberFormat="1" applyFont="1" applyFill="1" applyBorder="1" applyAlignment="1" applyProtection="1">
      <alignment horizontal="right"/>
      <protection hidden="1"/>
    </xf>
    <xf numFmtId="0" fontId="2" fillId="36" borderId="46" xfId="72" applyNumberFormat="1" applyFont="1" applyFill="1" applyBorder="1" applyProtection="1">
      <protection hidden="1"/>
    </xf>
    <xf numFmtId="165" fontId="2" fillId="36" borderId="46" xfId="72" applyNumberFormat="1" applyFont="1" applyFill="1" applyBorder="1" applyAlignment="1" applyProtection="1">
      <protection hidden="1"/>
    </xf>
    <xf numFmtId="165" fontId="2" fillId="36" borderId="43" xfId="72" applyNumberFormat="1" applyFont="1" applyFill="1" applyBorder="1" applyAlignment="1" applyProtection="1">
      <protection hidden="1"/>
    </xf>
    <xf numFmtId="165" fontId="2" fillId="36" borderId="63" xfId="72" applyNumberFormat="1" applyFont="1" applyFill="1" applyBorder="1" applyAlignment="1" applyProtection="1">
      <protection hidden="1"/>
    </xf>
    <xf numFmtId="0" fontId="2" fillId="36" borderId="0" xfId="72" applyNumberFormat="1" applyFont="1" applyFill="1" applyBorder="1" applyAlignment="1">
      <alignment vertical="top"/>
    </xf>
    <xf numFmtId="0" fontId="2" fillId="36" borderId="0" xfId="72" applyNumberFormat="1" applyFont="1" applyFill="1" applyBorder="1" applyAlignment="1"/>
    <xf numFmtId="0" fontId="2" fillId="36" borderId="0" xfId="72" applyNumberFormat="1" applyFill="1" applyBorder="1" applyAlignment="1"/>
    <xf numFmtId="0" fontId="14" fillId="36" borderId="0" xfId="72" applyNumberFormat="1" applyFont="1" applyFill="1" applyBorder="1" applyAlignment="1"/>
    <xf numFmtId="0" fontId="5" fillId="31" borderId="70" xfId="72" applyNumberFormat="1" applyFont="1" applyFill="1" applyBorder="1" applyAlignment="1" applyProtection="1">
      <alignment horizontal="center"/>
      <protection hidden="1"/>
    </xf>
    <xf numFmtId="0" fontId="2" fillId="36" borderId="67" xfId="72" applyNumberFormat="1" applyFont="1" applyFill="1" applyBorder="1" applyAlignment="1" applyProtection="1">
      <alignment horizontal="justify" vertical="top" wrapText="1"/>
      <protection hidden="1"/>
    </xf>
    <xf numFmtId="0" fontId="2" fillId="36" borderId="68" xfId="72" applyNumberFormat="1" applyFont="1" applyFill="1" applyBorder="1" applyAlignment="1" applyProtection="1">
      <alignment horizontal="justify" vertical="top" wrapText="1"/>
      <protection hidden="1"/>
    </xf>
    <xf numFmtId="0" fontId="2" fillId="36" borderId="69" xfId="72" applyNumberFormat="1" applyFont="1" applyFill="1" applyBorder="1" applyAlignment="1" applyProtection="1">
      <alignment horizontal="justify" vertical="top" wrapText="1"/>
      <protection hidden="1"/>
    </xf>
    <xf numFmtId="0" fontId="4" fillId="36" borderId="64" xfId="72" applyNumberFormat="1" applyFont="1" applyFill="1" applyBorder="1" applyAlignment="1" applyProtection="1">
      <alignment horizontal="justify" vertical="top" wrapText="1"/>
      <protection hidden="1"/>
    </xf>
    <xf numFmtId="0" fontId="13" fillId="36" borderId="65" xfId="0" applyFont="1" applyFill="1" applyBorder="1" applyAlignment="1">
      <alignment horizontal="justify" vertical="top" wrapText="1"/>
    </xf>
    <xf numFmtId="0" fontId="13" fillId="36" borderId="66" xfId="0" applyFont="1" applyFill="1" applyBorder="1" applyAlignment="1">
      <alignment horizontal="justify" vertical="top" wrapText="1"/>
    </xf>
    <xf numFmtId="0" fontId="19" fillId="31" borderId="0" xfId="62" applyNumberFormat="1" applyFont="1" applyFill="1" applyBorder="1" applyAlignment="1" applyProtection="1">
      <alignment horizontal="center"/>
      <protection hidden="1"/>
    </xf>
    <xf numFmtId="0" fontId="19" fillId="31" borderId="0" xfId="62" applyNumberFormat="1" applyFill="1" applyBorder="1" applyAlignment="1" applyProtection="1">
      <alignment horizontal="center"/>
      <protection hidden="1"/>
    </xf>
    <xf numFmtId="0" fontId="45" fillId="35" borderId="0" xfId="72" applyNumberFormat="1" applyFont="1" applyFill="1" applyBorder="1" applyAlignment="1" applyProtection="1">
      <alignment horizontal="center" vertical="center"/>
      <protection hidden="1"/>
    </xf>
    <xf numFmtId="0" fontId="2" fillId="36" borderId="0" xfId="72" applyNumberFormat="1" applyFont="1" applyFill="1" applyBorder="1" applyAlignment="1" applyProtection="1">
      <alignment horizontal="justify" vertical="top" wrapText="1"/>
      <protection hidden="1"/>
    </xf>
    <xf numFmtId="0" fontId="58" fillId="36" borderId="0" xfId="72" applyNumberFormat="1" applyFont="1" applyFill="1" applyBorder="1" applyAlignment="1" applyProtection="1">
      <alignment horizontal="justify" vertical="top" wrapText="1"/>
      <protection hidden="1"/>
    </xf>
    <xf numFmtId="0" fontId="2" fillId="36" borderId="0" xfId="72" applyNumberFormat="1" applyFont="1" applyFill="1" applyBorder="1" applyAlignment="1" applyProtection="1">
      <alignment horizontal="left" vertical="top" wrapText="1"/>
      <protection hidden="1"/>
    </xf>
  </cellXfs>
  <cellStyles count="9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Bold12" xfId="29"/>
    <cellStyle name="BoldItal12" xfId="30"/>
    <cellStyle name="Calculation" xfId="31" builtinId="22" customBuiltin="1"/>
    <cellStyle name="Check Cell" xfId="32" builtinId="23" customBuiltin="1"/>
    <cellStyle name="Column Headings" xfId="33"/>
    <cellStyle name="columns" xfId="34"/>
    <cellStyle name="comma (0)" xfId="35"/>
    <cellStyle name="Comma0" xfId="36"/>
    <cellStyle name="CoverHeadline1" xfId="37"/>
    <cellStyle name="curr" xfId="38"/>
    <cellStyle name="Currency0" xfId="39"/>
    <cellStyle name="DarkBlueOutline" xfId="40"/>
    <cellStyle name="DarkBlueOutlineYellow" xfId="41"/>
    <cellStyle name="Data" xfId="42"/>
    <cellStyle name="Date" xfId="43"/>
    <cellStyle name="Dezimal [0]_Compiling Utility Macros" xfId="44"/>
    <cellStyle name="Dezimal_Compiling Utility Macros" xfId="45"/>
    <cellStyle name="eps" xfId="46"/>
    <cellStyle name="Explanatory Text" xfId="47" builtinId="53" customBuiltin="1"/>
    <cellStyle name="Fixed" xfId="48"/>
    <cellStyle name="Good" xfId="49" builtinId="26" customBuiltin="1"/>
    <cellStyle name="GRAY" xfId="50"/>
    <cellStyle name="Gross Margin" xfId="51"/>
    <cellStyle name="header" xfId="52"/>
    <cellStyle name="Header Total" xfId="53"/>
    <cellStyle name="Header1" xfId="54"/>
    <cellStyle name="Header2" xfId="55"/>
    <cellStyle name="Header3" xfId="56"/>
    <cellStyle name="Heading" xfId="57"/>
    <cellStyle name="Heading 1" xfId="58" builtinId="16" customBuiltin="1"/>
    <cellStyle name="Heading 2" xfId="59" builtinId="17" customBuiltin="1"/>
    <cellStyle name="Heading 3" xfId="60" builtinId="18" customBuiltin="1"/>
    <cellStyle name="Heading 4" xfId="61" builtinId="19" customBuiltin="1"/>
    <cellStyle name="Hyperlink" xfId="62" builtinId="8"/>
    <cellStyle name="Input" xfId="63" builtinId="20" customBuiltin="1"/>
    <cellStyle name="Level 2 Total" xfId="64"/>
    <cellStyle name="Linked Cell" xfId="65" builtinId="24" customBuiltin="1"/>
    <cellStyle name="Major Total" xfId="66"/>
    <cellStyle name="negativ" xfId="67"/>
    <cellStyle name="Neutral" xfId="68" builtinId="28" customBuiltin="1"/>
    <cellStyle name="nodollars" xfId="69"/>
    <cellStyle name="NonPrint_TemTitle" xfId="70"/>
    <cellStyle name="Normal" xfId="0" builtinId="0"/>
    <cellStyle name="Normal 2" xfId="71"/>
    <cellStyle name="Normal_PLANNER3" xfId="72"/>
    <cellStyle name="NormalRed" xfId="73"/>
    <cellStyle name="Note" xfId="74" builtinId="10" customBuiltin="1"/>
    <cellStyle name="Output" xfId="75" builtinId="21" customBuiltin="1"/>
    <cellStyle name="over" xfId="76"/>
    <cellStyle name="percent (0)" xfId="77"/>
    <cellStyle name="Percent.0" xfId="78"/>
    <cellStyle name="Percent.00" xfId="79"/>
    <cellStyle name="posit" xfId="80"/>
    <cellStyle name="RED POSTED" xfId="81"/>
    <cellStyle name="Revenue" xfId="82"/>
    <cellStyle name="SingleTopDoubleBott" xfId="83"/>
    <cellStyle name="Standard_Anpassen der Amortisation" xfId="84"/>
    <cellStyle name="Text" xfId="85"/>
    <cellStyle name="Title" xfId="86" builtinId="15" customBuiltin="1"/>
    <cellStyle name="TmsRmn10BlueItalic" xfId="87"/>
    <cellStyle name="TmsRmn10Bold" xfId="88"/>
    <cellStyle name="Total" xfId="89" builtinId="25" customBuiltin="1"/>
    <cellStyle name="Underline" xfId="90"/>
    <cellStyle name="UnderlineDouble" xfId="91"/>
    <cellStyle name="Währung [0]_Compiling Utility Macros" xfId="92"/>
    <cellStyle name="Währung_Compiling Utility Macros" xfId="93"/>
    <cellStyle name="Warning Text" xfId="94" builtinId="11" customBuiltin="1"/>
    <cellStyle name="White" xfId="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5"/>
      <c:rotY val="20"/>
      <c:depthPercent val="100"/>
      <c:rAngAx val="1"/>
    </c:view3D>
    <c:floor>
      <c:thickness val="0"/>
    </c:floor>
    <c:sideWall>
      <c:thickness val="0"/>
    </c:sideWall>
    <c:backWall>
      <c:thickness val="0"/>
    </c:backWall>
    <c:plotArea>
      <c:layout>
        <c:manualLayout>
          <c:layoutTarget val="inner"/>
          <c:xMode val="edge"/>
          <c:yMode val="edge"/>
          <c:x val="0.14899008269965619"/>
          <c:y val="8.2353059445455276E-2"/>
          <c:w val="0.78787975936089383"/>
          <c:h val="0.54117724778442067"/>
        </c:manualLayout>
      </c:layout>
      <c:bar3DChart>
        <c:barDir val="col"/>
        <c:grouping val="clustered"/>
        <c:varyColors val="0"/>
        <c:ser>
          <c:idx val="0"/>
          <c:order val="0"/>
          <c:tx>
            <c:strRef>
              <c:f>'Data Entry'!$F$19</c:f>
              <c:strCache>
                <c:ptCount val="1"/>
                <c:pt idx="0">
                  <c:v>Days sales in accounts receivable</c:v>
                </c:pt>
              </c:strCache>
            </c:strRef>
          </c:tx>
          <c:invertIfNegative val="0"/>
          <c:cat>
            <c:strRef>
              <c:f>'Data Entry'!$I$18:$L$18</c:f>
              <c:strCache>
                <c:ptCount val="4"/>
                <c:pt idx="0">
                  <c:v>1st Qtr</c:v>
                </c:pt>
                <c:pt idx="1">
                  <c:v>2nd Qtr</c:v>
                </c:pt>
                <c:pt idx="2">
                  <c:v>3rd Qtr</c:v>
                </c:pt>
                <c:pt idx="3">
                  <c:v>4th Qtr</c:v>
                </c:pt>
              </c:strCache>
            </c:strRef>
          </c:cat>
          <c:val>
            <c:numRef>
              <c:f>'Data Entry'!$I$19:$L$19</c:f>
              <c:numCache>
                <c:formatCode>General</c:formatCode>
                <c:ptCount val="4"/>
                <c:pt idx="0">
                  <c:v>30</c:v>
                </c:pt>
                <c:pt idx="1">
                  <c:v>30</c:v>
                </c:pt>
                <c:pt idx="2">
                  <c:v>30</c:v>
                </c:pt>
                <c:pt idx="3">
                  <c:v>30</c:v>
                </c:pt>
              </c:numCache>
            </c:numRef>
          </c:val>
        </c:ser>
        <c:ser>
          <c:idx val="1"/>
          <c:order val="1"/>
          <c:tx>
            <c:strRef>
              <c:f>'Data Entry'!$F$20</c:f>
              <c:strCache>
                <c:ptCount val="1"/>
                <c:pt idx="0">
                  <c:v>Days materials cost in inventory</c:v>
                </c:pt>
              </c:strCache>
            </c:strRef>
          </c:tx>
          <c:invertIfNegative val="0"/>
          <c:cat>
            <c:strRef>
              <c:f>'Data Entry'!$I$18:$L$18</c:f>
              <c:strCache>
                <c:ptCount val="4"/>
                <c:pt idx="0">
                  <c:v>1st Qtr</c:v>
                </c:pt>
                <c:pt idx="1">
                  <c:v>2nd Qtr</c:v>
                </c:pt>
                <c:pt idx="2">
                  <c:v>3rd Qtr</c:v>
                </c:pt>
                <c:pt idx="3">
                  <c:v>4th Qtr</c:v>
                </c:pt>
              </c:strCache>
            </c:strRef>
          </c:cat>
          <c:val>
            <c:numRef>
              <c:f>'Data Entry'!$I$20:$L$20</c:f>
              <c:numCache>
                <c:formatCode>General</c:formatCode>
                <c:ptCount val="4"/>
                <c:pt idx="0">
                  <c:v>30</c:v>
                </c:pt>
                <c:pt idx="1">
                  <c:v>30</c:v>
                </c:pt>
                <c:pt idx="2">
                  <c:v>30</c:v>
                </c:pt>
                <c:pt idx="3">
                  <c:v>30</c:v>
                </c:pt>
              </c:numCache>
            </c:numRef>
          </c:val>
        </c:ser>
        <c:ser>
          <c:idx val="2"/>
          <c:order val="2"/>
          <c:tx>
            <c:strRef>
              <c:f>'Data Entry'!$F$21</c:f>
              <c:strCache>
                <c:ptCount val="1"/>
                <c:pt idx="0">
                  <c:v>Days finished goods in inventory</c:v>
                </c:pt>
              </c:strCache>
            </c:strRef>
          </c:tx>
          <c:invertIfNegative val="0"/>
          <c:cat>
            <c:strRef>
              <c:f>'Data Entry'!$I$18:$L$18</c:f>
              <c:strCache>
                <c:ptCount val="4"/>
                <c:pt idx="0">
                  <c:v>1st Qtr</c:v>
                </c:pt>
                <c:pt idx="1">
                  <c:v>2nd Qtr</c:v>
                </c:pt>
                <c:pt idx="2">
                  <c:v>3rd Qtr</c:v>
                </c:pt>
                <c:pt idx="3">
                  <c:v>4th Qtr</c:v>
                </c:pt>
              </c:strCache>
            </c:strRef>
          </c:cat>
          <c:val>
            <c:numRef>
              <c:f>'Data Entry'!$I$21:$L$21</c:f>
              <c:numCache>
                <c:formatCode>General</c:formatCode>
                <c:ptCount val="4"/>
                <c:pt idx="0">
                  <c:v>45</c:v>
                </c:pt>
                <c:pt idx="1">
                  <c:v>45</c:v>
                </c:pt>
                <c:pt idx="2">
                  <c:v>45</c:v>
                </c:pt>
                <c:pt idx="3">
                  <c:v>45</c:v>
                </c:pt>
              </c:numCache>
            </c:numRef>
          </c:val>
        </c:ser>
        <c:ser>
          <c:idx val="3"/>
          <c:order val="3"/>
          <c:tx>
            <c:strRef>
              <c:f>'Data Entry'!$F$22</c:f>
              <c:strCache>
                <c:ptCount val="1"/>
                <c:pt idx="0">
                  <c:v>Days materials cost in payables</c:v>
                </c:pt>
              </c:strCache>
            </c:strRef>
          </c:tx>
          <c:invertIfNegative val="0"/>
          <c:cat>
            <c:strRef>
              <c:f>'Data Entry'!$I$18:$L$18</c:f>
              <c:strCache>
                <c:ptCount val="4"/>
                <c:pt idx="0">
                  <c:v>1st Qtr</c:v>
                </c:pt>
                <c:pt idx="1">
                  <c:v>2nd Qtr</c:v>
                </c:pt>
                <c:pt idx="2">
                  <c:v>3rd Qtr</c:v>
                </c:pt>
                <c:pt idx="3">
                  <c:v>4th Qtr</c:v>
                </c:pt>
              </c:strCache>
            </c:strRef>
          </c:cat>
          <c:val>
            <c:numRef>
              <c:f>'Data Entry'!$I$22:$L$22</c:f>
              <c:numCache>
                <c:formatCode>General</c:formatCode>
                <c:ptCount val="4"/>
                <c:pt idx="0">
                  <c:v>60</c:v>
                </c:pt>
                <c:pt idx="1">
                  <c:v>60</c:v>
                </c:pt>
                <c:pt idx="2">
                  <c:v>60</c:v>
                </c:pt>
                <c:pt idx="3">
                  <c:v>60</c:v>
                </c:pt>
              </c:numCache>
            </c:numRef>
          </c:val>
        </c:ser>
        <c:ser>
          <c:idx val="4"/>
          <c:order val="4"/>
          <c:tx>
            <c:strRef>
              <c:f>'Data Entry'!$F$23</c:f>
              <c:strCache>
                <c:ptCount val="1"/>
                <c:pt idx="0">
                  <c:v>Days payroll expense accrued</c:v>
                </c:pt>
              </c:strCache>
            </c:strRef>
          </c:tx>
          <c:invertIfNegative val="0"/>
          <c:cat>
            <c:strRef>
              <c:f>'Data Entry'!$I$18:$L$18</c:f>
              <c:strCache>
                <c:ptCount val="4"/>
                <c:pt idx="0">
                  <c:v>1st Qtr</c:v>
                </c:pt>
                <c:pt idx="1">
                  <c:v>2nd Qtr</c:v>
                </c:pt>
                <c:pt idx="2">
                  <c:v>3rd Qtr</c:v>
                </c:pt>
                <c:pt idx="3">
                  <c:v>4th Qtr</c:v>
                </c:pt>
              </c:strCache>
            </c:strRef>
          </c:cat>
          <c:val>
            <c:numRef>
              <c:f>'Data Entry'!$I$23:$L$23</c:f>
              <c:numCache>
                <c:formatCode>General</c:formatCode>
                <c:ptCount val="4"/>
                <c:pt idx="0">
                  <c:v>7</c:v>
                </c:pt>
                <c:pt idx="1">
                  <c:v>7</c:v>
                </c:pt>
                <c:pt idx="2">
                  <c:v>7</c:v>
                </c:pt>
                <c:pt idx="3">
                  <c:v>7</c:v>
                </c:pt>
              </c:numCache>
            </c:numRef>
          </c:val>
        </c:ser>
        <c:ser>
          <c:idx val="5"/>
          <c:order val="5"/>
          <c:tx>
            <c:strRef>
              <c:f>'Data Entry'!$F$24</c:f>
              <c:strCache>
                <c:ptCount val="1"/>
                <c:pt idx="0">
                  <c:v>Days operating expense accrued</c:v>
                </c:pt>
              </c:strCache>
            </c:strRef>
          </c:tx>
          <c:invertIfNegative val="0"/>
          <c:cat>
            <c:strRef>
              <c:f>'Data Entry'!$I$18:$L$18</c:f>
              <c:strCache>
                <c:ptCount val="4"/>
                <c:pt idx="0">
                  <c:v>1st Qtr</c:v>
                </c:pt>
                <c:pt idx="1">
                  <c:v>2nd Qtr</c:v>
                </c:pt>
                <c:pt idx="2">
                  <c:v>3rd Qtr</c:v>
                </c:pt>
                <c:pt idx="3">
                  <c:v>4th Qtr</c:v>
                </c:pt>
              </c:strCache>
            </c:strRef>
          </c:cat>
          <c:val>
            <c:numRef>
              <c:f>'Data Entry'!$I$24:$L$24</c:f>
              <c:numCache>
                <c:formatCode>General</c:formatCode>
                <c:ptCount val="4"/>
                <c:pt idx="0">
                  <c:v>20</c:v>
                </c:pt>
                <c:pt idx="1">
                  <c:v>20</c:v>
                </c:pt>
                <c:pt idx="2">
                  <c:v>20</c:v>
                </c:pt>
                <c:pt idx="3">
                  <c:v>20</c:v>
                </c:pt>
              </c:numCache>
            </c:numRef>
          </c:val>
        </c:ser>
        <c:dLbls>
          <c:showLegendKey val="0"/>
          <c:showVal val="0"/>
          <c:showCatName val="0"/>
          <c:showSerName val="0"/>
          <c:showPercent val="0"/>
          <c:showBubbleSize val="0"/>
        </c:dLbls>
        <c:gapWidth val="150"/>
        <c:shape val="box"/>
        <c:axId val="262768280"/>
        <c:axId val="655616744"/>
        <c:axId val="0"/>
      </c:bar3DChart>
      <c:catAx>
        <c:axId val="262768280"/>
        <c:scaling>
          <c:orientation val="minMax"/>
        </c:scaling>
        <c:delete val="0"/>
        <c:axPos val="b"/>
        <c:title>
          <c:tx>
            <c:rich>
              <a:bodyPr/>
              <a:lstStyle/>
              <a:p>
                <a:pPr>
                  <a:defRPr/>
                </a:pPr>
                <a:r>
                  <a:rPr lang="en-US"/>
                  <a:t>Turnover</a:t>
                </a:r>
              </a:p>
            </c:rich>
          </c:tx>
          <c:layout>
            <c:manualLayout>
              <c:xMode val="edge"/>
              <c:yMode val="edge"/>
              <c:x val="0.50126324433697822"/>
              <c:y val="0.6911774632029285"/>
            </c:manualLayout>
          </c:layout>
          <c:overlay val="0"/>
        </c:title>
        <c:numFmt formatCode="General" sourceLinked="1"/>
        <c:majorTickMark val="out"/>
        <c:minorTickMark val="none"/>
        <c:tickLblPos val="low"/>
        <c:txPr>
          <a:bodyPr rot="0" vert="horz"/>
          <a:lstStyle/>
          <a:p>
            <a:pPr>
              <a:defRPr/>
            </a:pPr>
            <a:endParaRPr lang="tr-TR"/>
          </a:p>
        </c:txPr>
        <c:crossAx val="655616744"/>
        <c:crosses val="autoZero"/>
        <c:auto val="0"/>
        <c:lblAlgn val="ctr"/>
        <c:lblOffset val="100"/>
        <c:tickLblSkip val="1"/>
        <c:tickMarkSkip val="1"/>
        <c:noMultiLvlLbl val="0"/>
      </c:catAx>
      <c:valAx>
        <c:axId val="655616744"/>
        <c:scaling>
          <c:orientation val="minMax"/>
        </c:scaling>
        <c:delete val="0"/>
        <c:axPos val="l"/>
        <c:majorGridlines/>
        <c:title>
          <c:tx>
            <c:rich>
              <a:bodyPr/>
              <a:lstStyle/>
              <a:p>
                <a:pPr>
                  <a:defRPr/>
                </a:pPr>
                <a:r>
                  <a:rPr lang="en-US"/>
                  <a:t>Number of Days</a:t>
                </a:r>
              </a:p>
            </c:rich>
          </c:tx>
          <c:layout>
            <c:manualLayout>
              <c:xMode val="edge"/>
              <c:yMode val="edge"/>
              <c:x val="0.17171738345045129"/>
              <c:y val="0.21470619069708008"/>
            </c:manualLayout>
          </c:layout>
          <c:overlay val="0"/>
        </c:title>
        <c:numFmt formatCode="General" sourceLinked="1"/>
        <c:majorTickMark val="out"/>
        <c:minorTickMark val="none"/>
        <c:tickLblPos val="nextTo"/>
        <c:txPr>
          <a:bodyPr rot="0" vert="horz"/>
          <a:lstStyle/>
          <a:p>
            <a:pPr>
              <a:defRPr/>
            </a:pPr>
            <a:endParaRPr lang="tr-TR"/>
          </a:p>
        </c:txPr>
        <c:crossAx val="262768280"/>
        <c:crosses val="autoZero"/>
        <c:crossBetween val="between"/>
      </c:valAx>
    </c:plotArea>
    <c:legend>
      <c:legendPos val="b"/>
      <c:layout>
        <c:manualLayout>
          <c:xMode val="edge"/>
          <c:yMode val="edge"/>
          <c:x val="1.767703279514302E-2"/>
          <c:y val="0.85294240139935862"/>
          <c:w val="0.96759338794771821"/>
          <c:h val="0.12058840847370243"/>
        </c:manualLayout>
      </c:layout>
      <c:overlay val="0"/>
    </c:legend>
    <c:plotVisOnly val="1"/>
    <c:dispBlanksAs val="gap"/>
    <c:showDLblsOverMax val="0"/>
  </c:chart>
  <c:printSettings>
    <c:headerFooter alignWithMargins="0">
      <c:oddHeader>&amp;A</c:oddHeader>
      <c:oddFooter>Page &amp;P</c:oddFooter>
    </c:headerFooter>
    <c:pageMargins b="1" l="0.75000000000000033" r="0.75000000000000033" t="1" header="0.5" footer="0.5"/>
    <c:pageSetup orientation="landscape" horizontalDpi="30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6"/>
      <c:rotY val="20"/>
      <c:depthPercent val="200"/>
      <c:rAngAx val="1"/>
    </c:view3D>
    <c:floor>
      <c:thickness val="0"/>
    </c:floor>
    <c:sideWall>
      <c:thickness val="0"/>
    </c:sideWall>
    <c:backWall>
      <c:thickness val="0"/>
    </c:backWall>
    <c:plotArea>
      <c:layout>
        <c:manualLayout>
          <c:layoutTarget val="inner"/>
          <c:xMode val="edge"/>
          <c:yMode val="edge"/>
          <c:x val="0.11363650375397506"/>
          <c:y val="1.769916603050686E-2"/>
          <c:w val="0.87247582326663053"/>
          <c:h val="0.74041511227620382"/>
        </c:manualLayout>
      </c:layout>
      <c:bar3DChart>
        <c:barDir val="col"/>
        <c:grouping val="clustered"/>
        <c:varyColors val="0"/>
        <c:ser>
          <c:idx val="0"/>
          <c:order val="0"/>
          <c:tx>
            <c:v>Current Assets</c:v>
          </c:tx>
          <c:invertIfNegative val="0"/>
          <c:cat>
            <c:strRef>
              <c:f>'Income Statement'!$H$13:$K$13</c:f>
              <c:strCache>
                <c:ptCount val="4"/>
                <c:pt idx="0">
                  <c:v>1st Qtr</c:v>
                </c:pt>
                <c:pt idx="1">
                  <c:v>2nd Qtr</c:v>
                </c:pt>
                <c:pt idx="2">
                  <c:v>3rd Qtr</c:v>
                </c:pt>
                <c:pt idx="3">
                  <c:v>4th Qtr</c:v>
                </c:pt>
              </c:strCache>
            </c:strRef>
          </c:cat>
          <c:val>
            <c:numRef>
              <c:f>'Balance Sheet'!$I$21:$L$21</c:f>
              <c:numCache>
                <c:formatCode>"$"#,##0_);\("$"#,##0\)</c:formatCode>
                <c:ptCount val="4"/>
                <c:pt idx="0">
                  <c:v>1438305</c:v>
                </c:pt>
                <c:pt idx="1">
                  <c:v>1418433</c:v>
                </c:pt>
                <c:pt idx="2">
                  <c:v>1693091</c:v>
                </c:pt>
                <c:pt idx="3">
                  <c:v>2671071</c:v>
                </c:pt>
              </c:numCache>
            </c:numRef>
          </c:val>
        </c:ser>
        <c:ser>
          <c:idx val="1"/>
          <c:order val="1"/>
          <c:tx>
            <c:v>Fixed Assets</c:v>
          </c:tx>
          <c:invertIfNegative val="0"/>
          <c:cat>
            <c:strRef>
              <c:f>'Income Statement'!$H$13:$K$13</c:f>
              <c:strCache>
                <c:ptCount val="4"/>
                <c:pt idx="0">
                  <c:v>1st Qtr</c:v>
                </c:pt>
                <c:pt idx="1">
                  <c:v>2nd Qtr</c:v>
                </c:pt>
                <c:pt idx="2">
                  <c:v>3rd Qtr</c:v>
                </c:pt>
                <c:pt idx="3">
                  <c:v>4th Qtr</c:v>
                </c:pt>
              </c:strCache>
            </c:strRef>
          </c:cat>
          <c:val>
            <c:numRef>
              <c:f>'Balance Sheet'!$I$29:$L$29</c:f>
              <c:numCache>
                <c:formatCode>"$"#,##0_);\("$"#,##0\)</c:formatCode>
                <c:ptCount val="4"/>
                <c:pt idx="0">
                  <c:v>2005000</c:v>
                </c:pt>
                <c:pt idx="1">
                  <c:v>1983542</c:v>
                </c:pt>
                <c:pt idx="2">
                  <c:v>1962084</c:v>
                </c:pt>
                <c:pt idx="3">
                  <c:v>1940626</c:v>
                </c:pt>
              </c:numCache>
            </c:numRef>
          </c:val>
        </c:ser>
        <c:ser>
          <c:idx val="2"/>
          <c:order val="2"/>
          <c:tx>
            <c:v>Intangible Assets</c:v>
          </c:tx>
          <c:invertIfNegative val="0"/>
          <c:cat>
            <c:strRef>
              <c:f>'Income Statement'!$H$13:$K$13</c:f>
              <c:strCache>
                <c:ptCount val="4"/>
                <c:pt idx="0">
                  <c:v>1st Qtr</c:v>
                </c:pt>
                <c:pt idx="1">
                  <c:v>2nd Qtr</c:v>
                </c:pt>
                <c:pt idx="2">
                  <c:v>3rd Qtr</c:v>
                </c:pt>
                <c:pt idx="3">
                  <c:v>4th Qtr</c:v>
                </c:pt>
              </c:strCache>
            </c:strRef>
          </c:cat>
          <c:val>
            <c:numRef>
              <c:f>'Balance Sheet'!$I$34:$L$34</c:f>
              <c:numCache>
                <c:formatCode>"$"#,##0_);\("$"#,##0\)</c:formatCode>
                <c:ptCount val="4"/>
                <c:pt idx="0">
                  <c:v>28750</c:v>
                </c:pt>
                <c:pt idx="1">
                  <c:v>27500</c:v>
                </c:pt>
                <c:pt idx="2">
                  <c:v>26250</c:v>
                </c:pt>
                <c:pt idx="3">
                  <c:v>25000</c:v>
                </c:pt>
              </c:numCache>
            </c:numRef>
          </c:val>
        </c:ser>
        <c:dLbls>
          <c:showLegendKey val="0"/>
          <c:showVal val="0"/>
          <c:showCatName val="0"/>
          <c:showSerName val="0"/>
          <c:showPercent val="0"/>
          <c:showBubbleSize val="0"/>
        </c:dLbls>
        <c:gapWidth val="150"/>
        <c:gapDepth val="0"/>
        <c:shape val="box"/>
        <c:axId val="744157544"/>
        <c:axId val="744156760"/>
        <c:axId val="0"/>
      </c:bar3DChart>
      <c:catAx>
        <c:axId val="744157544"/>
        <c:scaling>
          <c:orientation val="minMax"/>
        </c:scaling>
        <c:delete val="0"/>
        <c:axPos val="b"/>
        <c:numFmt formatCode="General" sourceLinked="1"/>
        <c:majorTickMark val="out"/>
        <c:minorTickMark val="none"/>
        <c:tickLblPos val="low"/>
        <c:txPr>
          <a:bodyPr rot="0" vert="horz"/>
          <a:lstStyle/>
          <a:p>
            <a:pPr>
              <a:defRPr/>
            </a:pPr>
            <a:endParaRPr lang="tr-TR"/>
          </a:p>
        </c:txPr>
        <c:crossAx val="744156760"/>
        <c:crosses val="autoZero"/>
        <c:auto val="0"/>
        <c:lblAlgn val="ctr"/>
        <c:lblOffset val="100"/>
        <c:tickLblSkip val="1"/>
        <c:tickMarkSkip val="1"/>
        <c:noMultiLvlLbl val="0"/>
      </c:catAx>
      <c:valAx>
        <c:axId val="744156760"/>
        <c:scaling>
          <c:orientation val="minMax"/>
        </c:scaling>
        <c:delete val="0"/>
        <c:axPos val="l"/>
        <c:numFmt formatCode="&quot;$&quot;#,##0_);\(&quot;$&quot;#,##0\)" sourceLinked="1"/>
        <c:majorTickMark val="out"/>
        <c:minorTickMark val="none"/>
        <c:tickLblPos val="nextTo"/>
        <c:txPr>
          <a:bodyPr rot="0" vert="horz"/>
          <a:lstStyle/>
          <a:p>
            <a:pPr>
              <a:defRPr/>
            </a:pPr>
            <a:endParaRPr lang="tr-TR"/>
          </a:p>
        </c:txPr>
        <c:crossAx val="744157544"/>
        <c:crosses val="autoZero"/>
        <c:crossBetween val="between"/>
      </c:valAx>
    </c:plotArea>
    <c:legend>
      <c:legendPos val="b"/>
      <c:layout>
        <c:manualLayout>
          <c:xMode val="edge"/>
          <c:yMode val="edge"/>
          <c:x val="0.18055577818687141"/>
          <c:y val="0.89675774554568111"/>
          <c:w val="0.45075813155743416"/>
          <c:h val="7.6696386132196454E-2"/>
        </c:manualLayout>
      </c:layout>
      <c:overlay val="0"/>
    </c:legend>
    <c:plotVisOnly val="1"/>
    <c:dispBlanksAs val="gap"/>
    <c:showDLblsOverMax val="0"/>
  </c:chart>
  <c:printSettings>
    <c:headerFooter alignWithMargins="0">
      <c:oddHeader>&amp;A</c:oddHeader>
      <c:oddFooter>Page &amp;P</c:oddFooter>
    </c:headerFooter>
    <c:pageMargins b="1" l="0.75000000000000033" r="0.750000000000000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7"/>
      <c:rotY val="20"/>
      <c:depthPercent val="200"/>
      <c:rAngAx val="1"/>
    </c:view3D>
    <c:floor>
      <c:thickness val="0"/>
    </c:floor>
    <c:sideWall>
      <c:thickness val="0"/>
    </c:sideWall>
    <c:backWall>
      <c:thickness val="0"/>
    </c:backWall>
    <c:plotArea>
      <c:layout>
        <c:manualLayout>
          <c:layoutTarget val="inner"/>
          <c:xMode val="edge"/>
          <c:yMode val="edge"/>
          <c:x val="0.11489913157346361"/>
          <c:y val="1.7492736272230709E-2"/>
          <c:w val="0.87121319544714149"/>
          <c:h val="0.74927220366054903"/>
        </c:manualLayout>
      </c:layout>
      <c:bar3DChart>
        <c:barDir val="col"/>
        <c:grouping val="clustered"/>
        <c:varyColors val="0"/>
        <c:ser>
          <c:idx val="0"/>
          <c:order val="0"/>
          <c:tx>
            <c:v>Sales</c:v>
          </c:tx>
          <c:invertIfNegative val="0"/>
          <c:cat>
            <c:strRef>
              <c:f>'Income Statement'!$H$13:$K$13</c:f>
              <c:strCache>
                <c:ptCount val="4"/>
                <c:pt idx="0">
                  <c:v>1st Qtr</c:v>
                </c:pt>
                <c:pt idx="1">
                  <c:v>2nd Qtr</c:v>
                </c:pt>
                <c:pt idx="2">
                  <c:v>3rd Qtr</c:v>
                </c:pt>
                <c:pt idx="3">
                  <c:v>4th Qtr</c:v>
                </c:pt>
              </c:strCache>
            </c:strRef>
          </c:cat>
          <c:val>
            <c:numRef>
              <c:f>'Income Statement'!$H$15:$K$15</c:f>
              <c:numCache>
                <c:formatCode>"$"#,##0_);\("$"#,##0\)</c:formatCode>
                <c:ptCount val="4"/>
                <c:pt idx="0">
                  <c:v>2000000</c:v>
                </c:pt>
                <c:pt idx="1">
                  <c:v>1500000</c:v>
                </c:pt>
                <c:pt idx="2">
                  <c:v>1300000</c:v>
                </c:pt>
                <c:pt idx="3">
                  <c:v>2010100</c:v>
                </c:pt>
              </c:numCache>
            </c:numRef>
          </c:val>
        </c:ser>
        <c:ser>
          <c:idx val="1"/>
          <c:order val="1"/>
          <c:tx>
            <c:v>Gross Profit</c:v>
          </c:tx>
          <c:invertIfNegative val="0"/>
          <c:cat>
            <c:strRef>
              <c:f>'Income Statement'!$H$13:$K$13</c:f>
              <c:strCache>
                <c:ptCount val="4"/>
                <c:pt idx="0">
                  <c:v>1st Qtr</c:v>
                </c:pt>
                <c:pt idx="1">
                  <c:v>2nd Qtr</c:v>
                </c:pt>
                <c:pt idx="2">
                  <c:v>3rd Qtr</c:v>
                </c:pt>
                <c:pt idx="3">
                  <c:v>4th Qtr</c:v>
                </c:pt>
              </c:strCache>
            </c:strRef>
          </c:cat>
          <c:val>
            <c:numRef>
              <c:f>'Income Statement'!$H$18:$K$18</c:f>
              <c:numCache>
                <c:formatCode>"$"#,##0_);\("$"#,##0\)</c:formatCode>
                <c:ptCount val="4"/>
                <c:pt idx="0">
                  <c:v>1055000</c:v>
                </c:pt>
                <c:pt idx="1">
                  <c:v>635000</c:v>
                </c:pt>
                <c:pt idx="2">
                  <c:v>467000</c:v>
                </c:pt>
                <c:pt idx="3">
                  <c:v>938484</c:v>
                </c:pt>
              </c:numCache>
            </c:numRef>
          </c:val>
        </c:ser>
        <c:ser>
          <c:idx val="2"/>
          <c:order val="2"/>
          <c:tx>
            <c:v>Operating Expense</c:v>
          </c:tx>
          <c:invertIfNegative val="0"/>
          <c:cat>
            <c:strRef>
              <c:f>'Income Statement'!$H$13:$K$13</c:f>
              <c:strCache>
                <c:ptCount val="4"/>
                <c:pt idx="0">
                  <c:v>1st Qtr</c:v>
                </c:pt>
                <c:pt idx="1">
                  <c:v>2nd Qtr</c:v>
                </c:pt>
                <c:pt idx="2">
                  <c:v>3rd Qtr</c:v>
                </c:pt>
                <c:pt idx="3">
                  <c:v>4th Qtr</c:v>
                </c:pt>
              </c:strCache>
            </c:strRef>
          </c:cat>
          <c:val>
            <c:numRef>
              <c:f>'Income Statement'!$H$21:$K$21</c:f>
              <c:numCache>
                <c:formatCode>"$"#,##0_);\("$"#,##0\)</c:formatCode>
                <c:ptCount val="4"/>
                <c:pt idx="0">
                  <c:v>424000</c:v>
                </c:pt>
                <c:pt idx="1">
                  <c:v>318000</c:v>
                </c:pt>
                <c:pt idx="2">
                  <c:v>275600</c:v>
                </c:pt>
                <c:pt idx="3">
                  <c:v>426141.2</c:v>
                </c:pt>
              </c:numCache>
            </c:numRef>
          </c:val>
        </c:ser>
        <c:ser>
          <c:idx val="3"/>
          <c:order val="3"/>
          <c:tx>
            <c:v>Income Before Taxes</c:v>
          </c:tx>
          <c:invertIfNegative val="0"/>
          <c:cat>
            <c:strRef>
              <c:f>'Income Statement'!$H$13:$K$13</c:f>
              <c:strCache>
                <c:ptCount val="4"/>
                <c:pt idx="0">
                  <c:v>1st Qtr</c:v>
                </c:pt>
                <c:pt idx="1">
                  <c:v>2nd Qtr</c:v>
                </c:pt>
                <c:pt idx="2">
                  <c:v>3rd Qtr</c:v>
                </c:pt>
                <c:pt idx="3">
                  <c:v>4th Qtr</c:v>
                </c:pt>
              </c:strCache>
            </c:strRef>
          </c:cat>
          <c:val>
            <c:numRef>
              <c:f>'Income Statement'!$H$27:$K$27</c:f>
              <c:numCache>
                <c:formatCode>"$"#,##0_);\("$"#,##0\)</c:formatCode>
                <c:ptCount val="4"/>
                <c:pt idx="0">
                  <c:v>581000</c:v>
                </c:pt>
                <c:pt idx="1">
                  <c:v>265542</c:v>
                </c:pt>
                <c:pt idx="2">
                  <c:v>139942</c:v>
                </c:pt>
                <c:pt idx="3">
                  <c:v>460884.8</c:v>
                </c:pt>
              </c:numCache>
            </c:numRef>
          </c:val>
        </c:ser>
        <c:dLbls>
          <c:showLegendKey val="0"/>
          <c:showVal val="0"/>
          <c:showCatName val="0"/>
          <c:showSerName val="0"/>
          <c:showPercent val="0"/>
          <c:showBubbleSize val="0"/>
        </c:dLbls>
        <c:gapWidth val="150"/>
        <c:gapDepth val="0"/>
        <c:shape val="box"/>
        <c:axId val="744150096"/>
        <c:axId val="744149312"/>
        <c:axId val="0"/>
      </c:bar3DChart>
      <c:catAx>
        <c:axId val="744150096"/>
        <c:scaling>
          <c:orientation val="minMax"/>
        </c:scaling>
        <c:delete val="0"/>
        <c:axPos val="b"/>
        <c:numFmt formatCode="General" sourceLinked="1"/>
        <c:majorTickMark val="out"/>
        <c:minorTickMark val="none"/>
        <c:tickLblPos val="low"/>
        <c:txPr>
          <a:bodyPr rot="0" vert="horz"/>
          <a:lstStyle/>
          <a:p>
            <a:pPr>
              <a:defRPr/>
            </a:pPr>
            <a:endParaRPr lang="tr-TR"/>
          </a:p>
        </c:txPr>
        <c:crossAx val="744149312"/>
        <c:crosses val="autoZero"/>
        <c:auto val="0"/>
        <c:lblAlgn val="ctr"/>
        <c:lblOffset val="100"/>
        <c:tickLblSkip val="1"/>
        <c:tickMarkSkip val="1"/>
        <c:noMultiLvlLbl val="0"/>
      </c:catAx>
      <c:valAx>
        <c:axId val="744149312"/>
        <c:scaling>
          <c:orientation val="minMax"/>
        </c:scaling>
        <c:delete val="0"/>
        <c:axPos val="l"/>
        <c:majorGridlines/>
        <c:numFmt formatCode="&quot;$&quot;#,##0_);\(&quot;$&quot;#,##0\)" sourceLinked="1"/>
        <c:majorTickMark val="out"/>
        <c:minorTickMark val="none"/>
        <c:tickLblPos val="nextTo"/>
        <c:txPr>
          <a:bodyPr rot="0" vert="horz"/>
          <a:lstStyle/>
          <a:p>
            <a:pPr>
              <a:defRPr/>
            </a:pPr>
            <a:endParaRPr lang="tr-TR"/>
          </a:p>
        </c:txPr>
        <c:crossAx val="744150096"/>
        <c:crosses val="autoZero"/>
        <c:crossBetween val="between"/>
      </c:valAx>
    </c:plotArea>
    <c:legend>
      <c:legendPos val="b"/>
      <c:layout>
        <c:manualLayout>
          <c:xMode val="edge"/>
          <c:yMode val="edge"/>
          <c:x val="0.20202045111817776"/>
          <c:y val="0.90670683011062503"/>
          <c:w val="0.58585930824271559"/>
          <c:h val="7.5801857179666407E-2"/>
        </c:manualLayout>
      </c:layout>
      <c:overlay val="0"/>
    </c:legend>
    <c:plotVisOnly val="1"/>
    <c:dispBlanksAs val="gap"/>
    <c:showDLblsOverMax val="0"/>
  </c:chart>
  <c:printSettings>
    <c:headerFooter alignWithMargins="0">
      <c:oddHeader>&amp;A</c:oddHeader>
      <c:oddFooter>Page &amp;P</c:oddFooter>
    </c:headerFooter>
    <c:pageMargins b="1" l="0.75000000000000033" r="0.75000000000000033" t="1" header="0.5" footer="0.5"/>
    <c:pageSetup/>
  </c:printSettings>
</c:chartSpace>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704850</xdr:colOff>
      <xdr:row>7</xdr:row>
      <xdr:rowOff>152400</xdr:rowOff>
    </xdr:from>
    <xdr:to>
      <xdr:col>11</xdr:col>
      <xdr:colOff>695325</xdr:colOff>
      <xdr:row>10</xdr:row>
      <xdr:rowOff>142875</xdr:rowOff>
    </xdr:to>
    <xdr:sp macro="" textlink="">
      <xdr:nvSpPr>
        <xdr:cNvPr id="1076" name="LBL"/>
        <xdr:cNvSpPr txBox="1">
          <a:spLocks noChangeArrowheads="1"/>
        </xdr:cNvSpPr>
      </xdr:nvSpPr>
      <xdr:spPr bwMode="auto">
        <a:xfrm>
          <a:off x="6591300" y="1990725"/>
          <a:ext cx="1952625" cy="361950"/>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DATA SHEET</a:t>
          </a:r>
        </a:p>
      </xdr:txBody>
    </xdr:sp>
    <xdr:clientData/>
  </xdr:twoCellAnchor>
  <xdr:twoCellAnchor>
    <xdr:from>
      <xdr:col>0</xdr:col>
      <xdr:colOff>0</xdr:colOff>
      <xdr:row>0</xdr:row>
      <xdr:rowOff>0</xdr:rowOff>
    </xdr:from>
    <xdr:to>
      <xdr:col>2</xdr:col>
      <xdr:colOff>76200</xdr:colOff>
      <xdr:row>1</xdr:row>
      <xdr:rowOff>76200</xdr:rowOff>
    </xdr:to>
    <xdr:sp macro="" textlink="">
      <xdr:nvSpPr>
        <xdr:cNvPr id="1079" name="Rectangle 55"/>
        <xdr:cNvSpPr>
          <a:spLocks noChangeArrowheads="1"/>
        </xdr:cNvSpPr>
      </xdr:nvSpPr>
      <xdr:spPr bwMode="auto">
        <a:xfrm>
          <a:off x="0" y="0"/>
          <a:ext cx="200025" cy="142875"/>
        </a:xfrm>
        <a:prstGeom prst="rect">
          <a:avLst/>
        </a:prstGeom>
        <a:solidFill>
          <a:srgbClr val="000000"/>
        </a:solidFill>
        <a:ln w="9525">
          <a:solidFill>
            <a:srgbClr val="000000"/>
          </a:solidFill>
          <a:miter lim="800000"/>
          <a:headEnd/>
          <a:tailEnd/>
        </a:ln>
      </xdr:spPr>
    </xdr:sp>
    <xdr:clientData/>
  </xdr:twoCellAnchor>
  <xdr:twoCellAnchor editAs="absolute">
    <xdr:from>
      <xdr:col>6</xdr:col>
      <xdr:colOff>76200</xdr:colOff>
      <xdr:row>174</xdr:row>
      <xdr:rowOff>76200</xdr:rowOff>
    </xdr:from>
    <xdr:to>
      <xdr:col>10</xdr:col>
      <xdr:colOff>76200</xdr:colOff>
      <xdr:row>179</xdr:row>
      <xdr:rowOff>114300</xdr:rowOff>
    </xdr:to>
    <xdr:sp macro="" textlink="">
      <xdr:nvSpPr>
        <xdr:cNvPr id="1038" name="Text Box 14" hidden="1"/>
        <xdr:cNvSpPr txBox="1">
          <a:spLocks noChangeArrowheads="1"/>
        </xdr:cNvSpPr>
      </xdr:nvSpPr>
      <xdr:spPr bwMode="auto">
        <a:xfrm>
          <a:off x="2667000" y="28765500"/>
          <a:ext cx="4410075" cy="8477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170</xdr:row>
      <xdr:rowOff>104775</xdr:rowOff>
    </xdr:from>
    <xdr:to>
      <xdr:col>6</xdr:col>
      <xdr:colOff>1000125</xdr:colOff>
      <xdr:row>175</xdr:row>
      <xdr:rowOff>104775</xdr:rowOff>
    </xdr:to>
    <xdr:sp macro="" textlink="">
      <xdr:nvSpPr>
        <xdr:cNvPr id="1039" name="Text Box 15" hidden="1"/>
        <xdr:cNvSpPr txBox="1">
          <a:spLocks noChangeArrowheads="1"/>
        </xdr:cNvSpPr>
      </xdr:nvSpPr>
      <xdr:spPr bwMode="auto">
        <a:xfrm>
          <a:off x="2371725" y="28146375"/>
          <a:ext cx="1219200" cy="8096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169</xdr:row>
      <xdr:rowOff>28575</xdr:rowOff>
    </xdr:from>
    <xdr:to>
      <xdr:col>6</xdr:col>
      <xdr:colOff>1000125</xdr:colOff>
      <xdr:row>174</xdr:row>
      <xdr:rowOff>104775</xdr:rowOff>
    </xdr:to>
    <xdr:sp macro="" textlink="">
      <xdr:nvSpPr>
        <xdr:cNvPr id="1040" name="Text Box 16" hidden="1"/>
        <xdr:cNvSpPr txBox="1">
          <a:spLocks noChangeArrowheads="1"/>
        </xdr:cNvSpPr>
      </xdr:nvSpPr>
      <xdr:spPr bwMode="auto">
        <a:xfrm>
          <a:off x="2371725" y="27908250"/>
          <a:ext cx="1219200" cy="8858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168</xdr:row>
      <xdr:rowOff>28575</xdr:rowOff>
    </xdr:from>
    <xdr:to>
      <xdr:col>6</xdr:col>
      <xdr:colOff>1000125</xdr:colOff>
      <xdr:row>173</xdr:row>
      <xdr:rowOff>104775</xdr:rowOff>
    </xdr:to>
    <xdr:sp macro="" textlink="">
      <xdr:nvSpPr>
        <xdr:cNvPr id="1041" name="Text Box 17" hidden="1"/>
        <xdr:cNvSpPr txBox="1">
          <a:spLocks noChangeArrowheads="1"/>
        </xdr:cNvSpPr>
      </xdr:nvSpPr>
      <xdr:spPr bwMode="auto">
        <a:xfrm>
          <a:off x="2371725" y="27746325"/>
          <a:ext cx="1219200" cy="8858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163</xdr:row>
      <xdr:rowOff>28575</xdr:rowOff>
    </xdr:from>
    <xdr:to>
      <xdr:col>6</xdr:col>
      <xdr:colOff>1000125</xdr:colOff>
      <xdr:row>167</xdr:row>
      <xdr:rowOff>104775</xdr:rowOff>
    </xdr:to>
    <xdr:sp macro="" textlink="">
      <xdr:nvSpPr>
        <xdr:cNvPr id="1042" name="Text Box 18" hidden="1"/>
        <xdr:cNvSpPr txBox="1">
          <a:spLocks noChangeArrowheads="1"/>
        </xdr:cNvSpPr>
      </xdr:nvSpPr>
      <xdr:spPr bwMode="auto">
        <a:xfrm>
          <a:off x="2371725" y="26936700"/>
          <a:ext cx="1219200"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162</xdr:row>
      <xdr:rowOff>28575</xdr:rowOff>
    </xdr:from>
    <xdr:to>
      <xdr:col>6</xdr:col>
      <xdr:colOff>1000125</xdr:colOff>
      <xdr:row>166</xdr:row>
      <xdr:rowOff>104775</xdr:rowOff>
    </xdr:to>
    <xdr:sp macro="" textlink="">
      <xdr:nvSpPr>
        <xdr:cNvPr id="1043" name="Text Box 19" hidden="1"/>
        <xdr:cNvSpPr txBox="1">
          <a:spLocks noChangeArrowheads="1"/>
        </xdr:cNvSpPr>
      </xdr:nvSpPr>
      <xdr:spPr bwMode="auto">
        <a:xfrm>
          <a:off x="2371725" y="26774775"/>
          <a:ext cx="1219200"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161</xdr:row>
      <xdr:rowOff>28575</xdr:rowOff>
    </xdr:from>
    <xdr:to>
      <xdr:col>6</xdr:col>
      <xdr:colOff>1000125</xdr:colOff>
      <xdr:row>165</xdr:row>
      <xdr:rowOff>104775</xdr:rowOff>
    </xdr:to>
    <xdr:sp macro="" textlink="">
      <xdr:nvSpPr>
        <xdr:cNvPr id="1044" name="Text Box 20" hidden="1"/>
        <xdr:cNvSpPr txBox="1">
          <a:spLocks noChangeArrowheads="1"/>
        </xdr:cNvSpPr>
      </xdr:nvSpPr>
      <xdr:spPr bwMode="auto">
        <a:xfrm>
          <a:off x="2371725" y="26612850"/>
          <a:ext cx="1219200"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160</xdr:row>
      <xdr:rowOff>28575</xdr:rowOff>
    </xdr:from>
    <xdr:to>
      <xdr:col>6</xdr:col>
      <xdr:colOff>1000125</xdr:colOff>
      <xdr:row>164</xdr:row>
      <xdr:rowOff>104775</xdr:rowOff>
    </xdr:to>
    <xdr:sp macro="" textlink="">
      <xdr:nvSpPr>
        <xdr:cNvPr id="1045" name="Text Box 21" hidden="1"/>
        <xdr:cNvSpPr txBox="1">
          <a:spLocks noChangeArrowheads="1"/>
        </xdr:cNvSpPr>
      </xdr:nvSpPr>
      <xdr:spPr bwMode="auto">
        <a:xfrm>
          <a:off x="2371725" y="26450925"/>
          <a:ext cx="1219200"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156</xdr:row>
      <xdr:rowOff>47625</xdr:rowOff>
    </xdr:from>
    <xdr:to>
      <xdr:col>6</xdr:col>
      <xdr:colOff>1000125</xdr:colOff>
      <xdr:row>160</xdr:row>
      <xdr:rowOff>114300</xdr:rowOff>
    </xdr:to>
    <xdr:sp macro="" textlink="">
      <xdr:nvSpPr>
        <xdr:cNvPr id="1046" name="Text Box 22" hidden="1"/>
        <xdr:cNvSpPr txBox="1">
          <a:spLocks noChangeArrowheads="1"/>
        </xdr:cNvSpPr>
      </xdr:nvSpPr>
      <xdr:spPr bwMode="auto">
        <a:xfrm>
          <a:off x="2371725" y="25822275"/>
          <a:ext cx="1219200" cy="71437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155</xdr:row>
      <xdr:rowOff>47625</xdr:rowOff>
    </xdr:from>
    <xdr:to>
      <xdr:col>6</xdr:col>
      <xdr:colOff>1000125</xdr:colOff>
      <xdr:row>159</xdr:row>
      <xdr:rowOff>104775</xdr:rowOff>
    </xdr:to>
    <xdr:sp macro="" textlink="">
      <xdr:nvSpPr>
        <xdr:cNvPr id="1047" name="Text Box 23" hidden="1"/>
        <xdr:cNvSpPr txBox="1">
          <a:spLocks noChangeArrowheads="1"/>
        </xdr:cNvSpPr>
      </xdr:nvSpPr>
      <xdr:spPr bwMode="auto">
        <a:xfrm>
          <a:off x="2371725" y="25660350"/>
          <a:ext cx="1219200" cy="7048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1657350</xdr:colOff>
      <xdr:row>154</xdr:row>
      <xdr:rowOff>47625</xdr:rowOff>
    </xdr:from>
    <xdr:to>
      <xdr:col>6</xdr:col>
      <xdr:colOff>1000125</xdr:colOff>
      <xdr:row>158</xdr:row>
      <xdr:rowOff>114300</xdr:rowOff>
    </xdr:to>
    <xdr:sp macro="" textlink="">
      <xdr:nvSpPr>
        <xdr:cNvPr id="1048" name="Text Box 24" hidden="1"/>
        <xdr:cNvSpPr txBox="1">
          <a:spLocks noChangeArrowheads="1"/>
        </xdr:cNvSpPr>
      </xdr:nvSpPr>
      <xdr:spPr bwMode="auto">
        <a:xfrm>
          <a:off x="2371725" y="25498425"/>
          <a:ext cx="1219200" cy="71437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314325</xdr:colOff>
      <xdr:row>17</xdr:row>
      <xdr:rowOff>38100</xdr:rowOff>
    </xdr:from>
    <xdr:to>
      <xdr:col>7</xdr:col>
      <xdr:colOff>495300</xdr:colOff>
      <xdr:row>21</xdr:row>
      <xdr:rowOff>152400</xdr:rowOff>
    </xdr:to>
    <xdr:sp macro="" textlink="">
      <xdr:nvSpPr>
        <xdr:cNvPr id="1072" name="Text Box 48" hidden="1"/>
        <xdr:cNvSpPr txBox="1">
          <a:spLocks noChangeArrowheads="1"/>
        </xdr:cNvSpPr>
      </xdr:nvSpPr>
      <xdr:spPr bwMode="auto">
        <a:xfrm>
          <a:off x="2905125" y="3390900"/>
          <a:ext cx="1228725" cy="762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314325</xdr:colOff>
      <xdr:row>10</xdr:row>
      <xdr:rowOff>47625</xdr:rowOff>
    </xdr:from>
    <xdr:to>
      <xdr:col>8</xdr:col>
      <xdr:colOff>323850</xdr:colOff>
      <xdr:row>15</xdr:row>
      <xdr:rowOff>142875</xdr:rowOff>
    </xdr:to>
    <xdr:sp macro="" textlink="">
      <xdr:nvSpPr>
        <xdr:cNvPr id="1073" name="Text Box 49" hidden="1"/>
        <xdr:cNvSpPr txBox="1">
          <a:spLocks noChangeArrowheads="1"/>
        </xdr:cNvSpPr>
      </xdr:nvSpPr>
      <xdr:spPr bwMode="auto">
        <a:xfrm>
          <a:off x="2905125" y="2257425"/>
          <a:ext cx="2457450" cy="9144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1676400</xdr:colOff>
      <xdr:row>12</xdr:row>
      <xdr:rowOff>28575</xdr:rowOff>
    </xdr:from>
    <xdr:to>
      <xdr:col>7</xdr:col>
      <xdr:colOff>1209675</xdr:colOff>
      <xdr:row>21</xdr:row>
      <xdr:rowOff>142875</xdr:rowOff>
    </xdr:to>
    <xdr:sp macro="" textlink="">
      <xdr:nvSpPr>
        <xdr:cNvPr id="1074" name="Text Box 50" hidden="1"/>
        <xdr:cNvSpPr txBox="1">
          <a:spLocks noChangeArrowheads="1"/>
        </xdr:cNvSpPr>
      </xdr:nvSpPr>
      <xdr:spPr bwMode="auto">
        <a:xfrm>
          <a:off x="2390775" y="2562225"/>
          <a:ext cx="2457450" cy="15811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6</xdr:row>
      <xdr:rowOff>9525</xdr:rowOff>
    </xdr:from>
    <xdr:to>
      <xdr:col>8</xdr:col>
      <xdr:colOff>762000</xdr:colOff>
      <xdr:row>8</xdr:row>
      <xdr:rowOff>133350</xdr:rowOff>
    </xdr:to>
    <xdr:sp macro="" textlink="">
      <xdr:nvSpPr>
        <xdr:cNvPr id="9229" name="LBL"/>
        <xdr:cNvSpPr txBox="1">
          <a:spLocks noChangeArrowheads="1"/>
        </xdr:cNvSpPr>
      </xdr:nvSpPr>
      <xdr:spPr bwMode="auto">
        <a:xfrm>
          <a:off x="742950" y="904875"/>
          <a:ext cx="3857625" cy="333375"/>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INCOME STATEMENT</a:t>
          </a:r>
        </a:p>
      </xdr:txBody>
    </xdr:sp>
    <xdr:clientData/>
  </xdr:twoCellAnchor>
  <xdr:twoCellAnchor>
    <xdr:from>
      <xdr:col>0</xdr:col>
      <xdr:colOff>0</xdr:colOff>
      <xdr:row>0</xdr:row>
      <xdr:rowOff>0</xdr:rowOff>
    </xdr:from>
    <xdr:to>
      <xdr:col>2</xdr:col>
      <xdr:colOff>85725</xdr:colOff>
      <xdr:row>1</xdr:row>
      <xdr:rowOff>76200</xdr:rowOff>
    </xdr:to>
    <xdr:sp macro="" textlink="">
      <xdr:nvSpPr>
        <xdr:cNvPr id="9230" name="Rectangle 14"/>
        <xdr:cNvSpPr>
          <a:spLocks noChangeArrowheads="1"/>
        </xdr:cNvSpPr>
      </xdr:nvSpPr>
      <xdr:spPr bwMode="auto">
        <a:xfrm>
          <a:off x="0" y="0"/>
          <a:ext cx="257175" cy="142875"/>
        </a:xfrm>
        <a:prstGeom prst="rect">
          <a:avLst/>
        </a:prstGeom>
        <a:solidFill>
          <a:srgbClr val="00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5</xdr:row>
      <xdr:rowOff>152400</xdr:rowOff>
    </xdr:from>
    <xdr:to>
      <xdr:col>6</xdr:col>
      <xdr:colOff>1752600</xdr:colOff>
      <xdr:row>8</xdr:row>
      <xdr:rowOff>142875</xdr:rowOff>
    </xdr:to>
    <xdr:sp macro="" textlink="">
      <xdr:nvSpPr>
        <xdr:cNvPr id="10255" name="LBL"/>
        <xdr:cNvSpPr txBox="1">
          <a:spLocks noChangeArrowheads="1"/>
        </xdr:cNvSpPr>
      </xdr:nvSpPr>
      <xdr:spPr bwMode="auto">
        <a:xfrm>
          <a:off x="990600" y="1104900"/>
          <a:ext cx="2076450" cy="361950"/>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BALANCE SHEET</a:t>
          </a:r>
        </a:p>
      </xdr:txBody>
    </xdr:sp>
    <xdr:clientData/>
  </xdr:twoCellAnchor>
  <xdr:twoCellAnchor>
    <xdr:from>
      <xdr:col>0</xdr:col>
      <xdr:colOff>0</xdr:colOff>
      <xdr:row>0</xdr:row>
      <xdr:rowOff>0</xdr:rowOff>
    </xdr:from>
    <xdr:to>
      <xdr:col>2</xdr:col>
      <xdr:colOff>85725</xdr:colOff>
      <xdr:row>1</xdr:row>
      <xdr:rowOff>76200</xdr:rowOff>
    </xdr:to>
    <xdr:sp macro="" textlink="">
      <xdr:nvSpPr>
        <xdr:cNvPr id="10256" name="Rectangle 16"/>
        <xdr:cNvSpPr>
          <a:spLocks noChangeArrowheads="1"/>
        </xdr:cNvSpPr>
      </xdr:nvSpPr>
      <xdr:spPr bwMode="auto">
        <a:xfrm>
          <a:off x="0" y="0"/>
          <a:ext cx="200025" cy="142875"/>
        </a:xfrm>
        <a:prstGeom prst="rect">
          <a:avLst/>
        </a:prstGeom>
        <a:solidFill>
          <a:srgbClr val="000000"/>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114300</xdr:colOff>
      <xdr:row>7</xdr:row>
      <xdr:rowOff>9525</xdr:rowOff>
    </xdr:from>
    <xdr:to>
      <xdr:col>8</xdr:col>
      <xdr:colOff>285750</xdr:colOff>
      <xdr:row>9</xdr:row>
      <xdr:rowOff>104775</xdr:rowOff>
    </xdr:to>
    <xdr:sp macro="" textlink="">
      <xdr:nvSpPr>
        <xdr:cNvPr id="2049" name="LBL"/>
        <xdr:cNvSpPr txBox="1">
          <a:spLocks noChangeArrowheads="1"/>
        </xdr:cNvSpPr>
      </xdr:nvSpPr>
      <xdr:spPr bwMode="auto">
        <a:xfrm>
          <a:off x="819150" y="1123950"/>
          <a:ext cx="3743325" cy="304800"/>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CASH FLOW STATEMENT</a:t>
          </a:r>
        </a:p>
      </xdr:txBody>
    </xdr:sp>
    <xdr:clientData/>
  </xdr:twoCellAnchor>
  <xdr:twoCellAnchor>
    <xdr:from>
      <xdr:col>0</xdr:col>
      <xdr:colOff>0</xdr:colOff>
      <xdr:row>0</xdr:row>
      <xdr:rowOff>0</xdr:rowOff>
    </xdr:from>
    <xdr:to>
      <xdr:col>2</xdr:col>
      <xdr:colOff>85725</xdr:colOff>
      <xdr:row>1</xdr:row>
      <xdr:rowOff>76200</xdr:rowOff>
    </xdr:to>
    <xdr:sp macro="" textlink="">
      <xdr:nvSpPr>
        <xdr:cNvPr id="2057" name="Rectangle 9"/>
        <xdr:cNvSpPr>
          <a:spLocks noChangeArrowheads="1"/>
        </xdr:cNvSpPr>
      </xdr:nvSpPr>
      <xdr:spPr bwMode="auto">
        <a:xfrm>
          <a:off x="0" y="0"/>
          <a:ext cx="200025" cy="142875"/>
        </a:xfrm>
        <a:prstGeom prst="rect">
          <a:avLst/>
        </a:prstGeom>
        <a:solidFill>
          <a:srgbClr val="000000"/>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114300</xdr:colOff>
      <xdr:row>7</xdr:row>
      <xdr:rowOff>9525</xdr:rowOff>
    </xdr:from>
    <xdr:to>
      <xdr:col>8</xdr:col>
      <xdr:colOff>285750</xdr:colOff>
      <xdr:row>9</xdr:row>
      <xdr:rowOff>104775</xdr:rowOff>
    </xdr:to>
    <xdr:sp macro="" textlink="">
      <xdr:nvSpPr>
        <xdr:cNvPr id="11265" name="LBL"/>
        <xdr:cNvSpPr txBox="1">
          <a:spLocks noChangeArrowheads="1"/>
        </xdr:cNvSpPr>
      </xdr:nvSpPr>
      <xdr:spPr bwMode="auto">
        <a:xfrm>
          <a:off x="819150" y="1123950"/>
          <a:ext cx="3295650" cy="304800"/>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CASH FLOW PROJECTIONS</a:t>
          </a:r>
        </a:p>
      </xdr:txBody>
    </xdr:sp>
    <xdr:clientData/>
  </xdr:twoCellAnchor>
  <xdr:twoCellAnchor>
    <xdr:from>
      <xdr:col>0</xdr:col>
      <xdr:colOff>0</xdr:colOff>
      <xdr:row>0</xdr:row>
      <xdr:rowOff>0</xdr:rowOff>
    </xdr:from>
    <xdr:to>
      <xdr:col>2</xdr:col>
      <xdr:colOff>85725</xdr:colOff>
      <xdr:row>1</xdr:row>
      <xdr:rowOff>76200</xdr:rowOff>
    </xdr:to>
    <xdr:sp macro="" textlink="">
      <xdr:nvSpPr>
        <xdr:cNvPr id="11266" name="Rectangle 2"/>
        <xdr:cNvSpPr>
          <a:spLocks noChangeArrowheads="1"/>
        </xdr:cNvSpPr>
      </xdr:nvSpPr>
      <xdr:spPr bwMode="auto">
        <a:xfrm>
          <a:off x="0" y="0"/>
          <a:ext cx="200025" cy="142875"/>
        </a:xfrm>
        <a:prstGeom prst="rect">
          <a:avLst/>
        </a:prstGeom>
        <a:solidFill>
          <a:srgbClr val="000000"/>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11</xdr:row>
      <xdr:rowOff>9525</xdr:rowOff>
    </xdr:from>
    <xdr:to>
      <xdr:col>14</xdr:col>
      <xdr:colOff>0</xdr:colOff>
      <xdr:row>31</xdr:row>
      <xdr:rowOff>9525</xdr:rowOff>
    </xdr:to>
    <xdr:graphicFrame macro="">
      <xdr:nvGraphicFramePr>
        <xdr:cNvPr id="3073" name="DTCH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333375</xdr:colOff>
      <xdr:row>7</xdr:row>
      <xdr:rowOff>38100</xdr:rowOff>
    </xdr:from>
    <xdr:to>
      <xdr:col>12</xdr:col>
      <xdr:colOff>285750</xdr:colOff>
      <xdr:row>9</xdr:row>
      <xdr:rowOff>123825</xdr:rowOff>
    </xdr:to>
    <xdr:sp macro="" textlink="">
      <xdr:nvSpPr>
        <xdr:cNvPr id="3074" name="LBL"/>
        <xdr:cNvSpPr txBox="1">
          <a:spLocks noChangeArrowheads="1"/>
        </xdr:cNvSpPr>
      </xdr:nvSpPr>
      <xdr:spPr bwMode="auto">
        <a:xfrm>
          <a:off x="4810125" y="971550"/>
          <a:ext cx="2009775" cy="295275"/>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DATA CHART</a:t>
          </a:r>
        </a:p>
      </xdr:txBody>
    </xdr:sp>
    <xdr:clientData/>
  </xdr:twoCellAnchor>
  <xdr:twoCellAnchor>
    <xdr:from>
      <xdr:col>0</xdr:col>
      <xdr:colOff>0</xdr:colOff>
      <xdr:row>0</xdr:row>
      <xdr:rowOff>0</xdr:rowOff>
    </xdr:from>
    <xdr:to>
      <xdr:col>2</xdr:col>
      <xdr:colOff>85725</xdr:colOff>
      <xdr:row>1</xdr:row>
      <xdr:rowOff>76200</xdr:rowOff>
    </xdr:to>
    <xdr:sp macro="" textlink="">
      <xdr:nvSpPr>
        <xdr:cNvPr id="3077" name="Rectangle 5"/>
        <xdr:cNvSpPr>
          <a:spLocks noChangeArrowheads="1"/>
        </xdr:cNvSpPr>
      </xdr:nvSpPr>
      <xdr:spPr bwMode="auto">
        <a:xfrm>
          <a:off x="0" y="0"/>
          <a:ext cx="200025" cy="142875"/>
        </a:xfrm>
        <a:prstGeom prst="rect">
          <a:avLst/>
        </a:prstGeom>
        <a:solidFill>
          <a:srgbClr val="000000"/>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11</xdr:row>
      <xdr:rowOff>9525</xdr:rowOff>
    </xdr:from>
    <xdr:to>
      <xdr:col>14</xdr:col>
      <xdr:colOff>0</xdr:colOff>
      <xdr:row>31</xdr:row>
      <xdr:rowOff>0</xdr:rowOff>
    </xdr:to>
    <xdr:graphicFrame macro="">
      <xdr:nvGraphicFramePr>
        <xdr:cNvPr id="5121" name="ASSCH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609600</xdr:colOff>
      <xdr:row>7</xdr:row>
      <xdr:rowOff>38100</xdr:rowOff>
    </xdr:from>
    <xdr:to>
      <xdr:col>13</xdr:col>
      <xdr:colOff>485775</xdr:colOff>
      <xdr:row>9</xdr:row>
      <xdr:rowOff>123825</xdr:rowOff>
    </xdr:to>
    <xdr:sp macro="" textlink="">
      <xdr:nvSpPr>
        <xdr:cNvPr id="5122" name="LBL"/>
        <xdr:cNvSpPr txBox="1">
          <a:spLocks noChangeArrowheads="1"/>
        </xdr:cNvSpPr>
      </xdr:nvSpPr>
      <xdr:spPr bwMode="auto">
        <a:xfrm>
          <a:off x="5781675" y="933450"/>
          <a:ext cx="1933575" cy="295275"/>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ASSET CHART</a:t>
          </a:r>
        </a:p>
      </xdr:txBody>
    </xdr:sp>
    <xdr:clientData/>
  </xdr:twoCellAnchor>
  <xdr:twoCellAnchor>
    <xdr:from>
      <xdr:col>0</xdr:col>
      <xdr:colOff>0</xdr:colOff>
      <xdr:row>0</xdr:row>
      <xdr:rowOff>0</xdr:rowOff>
    </xdr:from>
    <xdr:to>
      <xdr:col>2</xdr:col>
      <xdr:colOff>76200</xdr:colOff>
      <xdr:row>1</xdr:row>
      <xdr:rowOff>76200</xdr:rowOff>
    </xdr:to>
    <xdr:sp macro="" textlink="">
      <xdr:nvSpPr>
        <xdr:cNvPr id="5125" name="Rectangle 5"/>
        <xdr:cNvSpPr>
          <a:spLocks noChangeArrowheads="1"/>
        </xdr:cNvSpPr>
      </xdr:nvSpPr>
      <xdr:spPr bwMode="auto">
        <a:xfrm>
          <a:off x="0" y="0"/>
          <a:ext cx="200025" cy="142875"/>
        </a:xfrm>
        <a:prstGeom prst="rect">
          <a:avLst/>
        </a:prstGeom>
        <a:solidFill>
          <a:srgbClr val="000000"/>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12</xdr:row>
      <xdr:rowOff>9525</xdr:rowOff>
    </xdr:from>
    <xdr:to>
      <xdr:col>14</xdr:col>
      <xdr:colOff>0</xdr:colOff>
      <xdr:row>32</xdr:row>
      <xdr:rowOff>0</xdr:rowOff>
    </xdr:to>
    <xdr:graphicFrame macro="">
      <xdr:nvGraphicFramePr>
        <xdr:cNvPr id="7169" name="INCCH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7</xdr:row>
      <xdr:rowOff>0</xdr:rowOff>
    </xdr:from>
    <xdr:to>
      <xdr:col>13</xdr:col>
      <xdr:colOff>514350</xdr:colOff>
      <xdr:row>10</xdr:row>
      <xdr:rowOff>28575</xdr:rowOff>
    </xdr:to>
    <xdr:sp macro="" textlink="">
      <xdr:nvSpPr>
        <xdr:cNvPr id="7170" name="LBL"/>
        <xdr:cNvSpPr txBox="1">
          <a:spLocks noChangeArrowheads="1"/>
        </xdr:cNvSpPr>
      </xdr:nvSpPr>
      <xdr:spPr bwMode="auto">
        <a:xfrm>
          <a:off x="5676900" y="895350"/>
          <a:ext cx="2057400" cy="400050"/>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INCOME CHART</a:t>
          </a:r>
        </a:p>
      </xdr:txBody>
    </xdr:sp>
    <xdr:clientData/>
  </xdr:twoCellAnchor>
  <xdr:twoCellAnchor>
    <xdr:from>
      <xdr:col>0</xdr:col>
      <xdr:colOff>0</xdr:colOff>
      <xdr:row>0</xdr:row>
      <xdr:rowOff>0</xdr:rowOff>
    </xdr:from>
    <xdr:to>
      <xdr:col>2</xdr:col>
      <xdr:colOff>85725</xdr:colOff>
      <xdr:row>1</xdr:row>
      <xdr:rowOff>76200</xdr:rowOff>
    </xdr:to>
    <xdr:sp macro="" textlink="">
      <xdr:nvSpPr>
        <xdr:cNvPr id="7173" name="Rectangle 5"/>
        <xdr:cNvSpPr>
          <a:spLocks noChangeArrowheads="1"/>
        </xdr:cNvSpPr>
      </xdr:nvSpPr>
      <xdr:spPr bwMode="auto">
        <a:xfrm>
          <a:off x="0" y="0"/>
          <a:ext cx="200025" cy="142875"/>
        </a:xfrm>
        <a:prstGeom prst="rect">
          <a:avLst/>
        </a:prstGeom>
        <a:solidFill>
          <a:srgbClr val="000000"/>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nan%20&#199;&#305;lman\AppData\Roaming\Microsoft\Templates\Sales%20Seasonality%20by%20Month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easonality by Month"/>
      <sheetName val="About JaxWorks"/>
    </sheetNames>
    <sheetDataSet>
      <sheetData sheetId="0">
        <row r="4">
          <cell r="B4" t="str">
            <v>For the Year 2003</v>
          </cell>
        </row>
        <row r="9">
          <cell r="B9" t="str">
            <v>Jan</v>
          </cell>
          <cell r="C9">
            <v>100000</v>
          </cell>
          <cell r="F9">
            <v>7.0000000000000007E-2</v>
          </cell>
        </row>
        <row r="10">
          <cell r="C10">
            <v>101300</v>
          </cell>
          <cell r="F10">
            <v>7.4999999999999997E-2</v>
          </cell>
        </row>
        <row r="11">
          <cell r="C11">
            <v>102616.9</v>
          </cell>
          <cell r="F11">
            <v>0.09</v>
          </cell>
        </row>
        <row r="12">
          <cell r="C12">
            <v>103950.9197</v>
          </cell>
          <cell r="F12">
            <v>0.09</v>
          </cell>
        </row>
        <row r="13">
          <cell r="C13">
            <v>105302.28165610001</v>
          </cell>
          <cell r="F13">
            <v>0.09</v>
          </cell>
        </row>
        <row r="14">
          <cell r="C14">
            <v>106671.211317629</v>
          </cell>
          <cell r="F14">
            <v>0.08</v>
          </cell>
        </row>
        <row r="15">
          <cell r="C15">
            <v>108057.93706475801</v>
          </cell>
          <cell r="F15">
            <v>7.0000000000000007E-2</v>
          </cell>
        </row>
        <row r="16">
          <cell r="C16">
            <v>109462.6902466</v>
          </cell>
          <cell r="F16">
            <v>9.5000000000000001E-2</v>
          </cell>
        </row>
        <row r="17">
          <cell r="C17">
            <v>110885.705219806</v>
          </cell>
          <cell r="F17">
            <v>0.09</v>
          </cell>
        </row>
        <row r="18">
          <cell r="C18">
            <v>112327.21938766399</v>
          </cell>
          <cell r="F18">
            <v>0.09</v>
          </cell>
        </row>
        <row r="19">
          <cell r="C19">
            <v>113787.473239703</v>
          </cell>
          <cell r="F19">
            <v>7.0000000000000007E-2</v>
          </cell>
        </row>
        <row r="20">
          <cell r="C20">
            <v>115266.710391819</v>
          </cell>
          <cell r="F20">
            <v>0.09</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pageSetUpPr autoPageBreaks="0"/>
  </sheetPr>
  <dimension ref="B1:O49"/>
  <sheetViews>
    <sheetView showGridLines="0" showRowColHeaders="0" tabSelected="1" defaultGridColor="0" colorId="7" zoomScaleNormal="100" workbookViewId="0"/>
  </sheetViews>
  <sheetFormatPr defaultColWidth="10.28515625" defaultRowHeight="12.75"/>
  <cols>
    <col min="1" max="1" width="1.42578125" style="1" customWidth="1"/>
    <col min="2" max="2" width="0.42578125" style="1" customWidth="1"/>
    <col min="3" max="4" width="3.7109375" style="1" customWidth="1"/>
    <col min="5" max="5" width="1.42578125" style="1" customWidth="1"/>
    <col min="6" max="6" width="28.140625" style="1" customWidth="1"/>
    <col min="7" max="7" width="15.7109375" style="1" customWidth="1"/>
    <col min="8" max="8" width="21" style="1" customWidth="1"/>
    <col min="9" max="9" width="12.7109375" style="1" customWidth="1"/>
    <col min="10" max="10" width="16.7109375" style="1" bestFit="1" customWidth="1"/>
    <col min="11" max="12" width="12.7109375" style="1" customWidth="1"/>
    <col min="13" max="14" width="3.7109375" style="1" customWidth="1"/>
    <col min="15" max="15" width="0.42578125" style="1" customWidth="1"/>
    <col min="16" max="16384" width="10.28515625" style="1"/>
  </cols>
  <sheetData>
    <row r="1" spans="2:15" ht="5.25" customHeight="1"/>
    <row r="2" spans="2:15" ht="13.5" thickBot="1"/>
    <row r="3" spans="2:15" ht="13.5" thickTop="1">
      <c r="B3" s="2"/>
      <c r="C3" s="3"/>
      <c r="D3" s="3"/>
      <c r="E3" s="3"/>
      <c r="F3" s="3"/>
      <c r="G3" s="3"/>
      <c r="H3" s="3"/>
      <c r="I3" s="3"/>
      <c r="J3" s="3"/>
      <c r="K3" s="3"/>
      <c r="L3" s="3"/>
      <c r="M3" s="3"/>
      <c r="N3" s="3"/>
      <c r="O3" s="4"/>
    </row>
    <row r="4" spans="2:15" ht="28.5" customHeight="1">
      <c r="B4" s="5"/>
      <c r="C4" s="6"/>
      <c r="D4" s="216" t="s">
        <v>131</v>
      </c>
      <c r="E4" s="216"/>
      <c r="F4" s="216"/>
      <c r="G4" s="216"/>
      <c r="H4" s="216"/>
      <c r="I4" s="216"/>
      <c r="J4" s="216"/>
      <c r="K4" s="216"/>
      <c r="L4" s="216"/>
      <c r="M4" s="216"/>
      <c r="N4" s="6"/>
      <c r="O4" s="7"/>
    </row>
    <row r="5" spans="2:15" ht="11.25" customHeight="1">
      <c r="B5" s="5"/>
      <c r="C5" s="6"/>
      <c r="D5" s="189"/>
      <c r="E5" s="189"/>
      <c r="F5" s="189"/>
      <c r="G5" s="189"/>
      <c r="H5" s="189"/>
      <c r="I5" s="189"/>
      <c r="J5" s="189"/>
      <c r="K5" s="189"/>
      <c r="L5" s="189"/>
      <c r="M5" s="189"/>
      <c r="N5" s="6"/>
      <c r="O5" s="7"/>
    </row>
    <row r="6" spans="2:15" s="11" customFormat="1" ht="28.5" customHeight="1">
      <c r="B6" s="8"/>
      <c r="C6" s="9"/>
      <c r="D6" s="211" t="s">
        <v>132</v>
      </c>
      <c r="E6" s="212"/>
      <c r="F6" s="212"/>
      <c r="G6" s="212"/>
      <c r="H6" s="212"/>
      <c r="I6" s="212"/>
      <c r="J6" s="212"/>
      <c r="K6" s="212"/>
      <c r="L6" s="212"/>
      <c r="M6" s="213"/>
      <c r="N6" s="9"/>
      <c r="O6" s="10"/>
    </row>
    <row r="7" spans="2:15" ht="44.25" customHeight="1">
      <c r="B7" s="5"/>
      <c r="C7" s="6"/>
      <c r="D7" s="208" t="s">
        <v>0</v>
      </c>
      <c r="E7" s="209"/>
      <c r="F7" s="209"/>
      <c r="G7" s="209"/>
      <c r="H7" s="209"/>
      <c r="I7" s="209"/>
      <c r="J7" s="209"/>
      <c r="K7" s="209"/>
      <c r="L7" s="209"/>
      <c r="M7" s="210"/>
      <c r="N7" s="6"/>
      <c r="O7" s="7"/>
    </row>
    <row r="8" spans="2:15">
      <c r="B8" s="5"/>
      <c r="C8" s="6"/>
      <c r="D8" s="6"/>
      <c r="E8" s="6"/>
      <c r="F8" s="6"/>
      <c r="G8" s="6"/>
      <c r="H8" s="6"/>
      <c r="I8" s="6"/>
      <c r="J8" s="6"/>
      <c r="K8" s="6"/>
      <c r="L8" s="6"/>
      <c r="M8" s="6"/>
      <c r="N8" s="6"/>
      <c r="O8" s="7"/>
    </row>
    <row r="9" spans="2:15" ht="13.5" thickBot="1">
      <c r="B9" s="5"/>
      <c r="C9" s="6"/>
      <c r="D9" s="6"/>
      <c r="E9" s="6"/>
      <c r="F9" s="6"/>
      <c r="G9" s="6"/>
      <c r="H9" s="6"/>
      <c r="I9" s="6"/>
      <c r="J9" s="6"/>
      <c r="K9" s="6"/>
      <c r="L9" s="6"/>
      <c r="M9" s="6"/>
      <c r="N9" s="6"/>
      <c r="O9" s="7"/>
    </row>
    <row r="10" spans="2:15" ht="3" customHeight="1" thickTop="1">
      <c r="B10" s="5"/>
      <c r="C10" s="6"/>
      <c r="D10" s="12"/>
      <c r="E10" s="12"/>
      <c r="F10" s="12"/>
      <c r="G10" s="12"/>
      <c r="H10" s="12"/>
      <c r="I10" s="12"/>
      <c r="J10" s="12"/>
      <c r="K10" s="12"/>
      <c r="L10" s="12"/>
      <c r="M10" s="12"/>
      <c r="N10" s="6"/>
      <c r="O10" s="7"/>
    </row>
    <row r="11" spans="2:15">
      <c r="B11" s="5"/>
      <c r="C11" s="6"/>
      <c r="D11" s="6"/>
      <c r="E11" s="6"/>
      <c r="F11" s="6"/>
      <c r="G11" s="6"/>
      <c r="H11" s="6"/>
      <c r="I11" s="6"/>
      <c r="J11" s="6"/>
      <c r="K11" s="6"/>
      <c r="L11" s="6"/>
      <c r="M11" s="6"/>
      <c r="N11" s="6"/>
      <c r="O11" s="7"/>
    </row>
    <row r="12" spans="2:15">
      <c r="B12" s="5"/>
      <c r="C12" s="6"/>
      <c r="D12" s="6"/>
      <c r="E12" s="6"/>
      <c r="F12" s="6"/>
      <c r="G12" s="6"/>
      <c r="H12" s="6"/>
      <c r="I12" s="6"/>
      <c r="J12" s="6"/>
      <c r="K12" s="6"/>
      <c r="L12" s="6"/>
      <c r="M12" s="6"/>
      <c r="N12" s="6"/>
      <c r="O12" s="7"/>
    </row>
    <row r="13" spans="2:15" ht="13.5" thickBot="1">
      <c r="B13" s="5"/>
      <c r="C13" s="6"/>
      <c r="D13" s="6"/>
      <c r="E13" s="6"/>
      <c r="F13" s="6"/>
      <c r="G13" s="6"/>
      <c r="H13" s="6"/>
      <c r="I13" s="6"/>
      <c r="J13" s="6"/>
      <c r="K13" s="6"/>
      <c r="L13" s="6"/>
      <c r="M13" s="6"/>
      <c r="N13" s="6"/>
      <c r="O13" s="7"/>
    </row>
    <row r="14" spans="2:15">
      <c r="B14" s="5"/>
      <c r="C14" s="6"/>
      <c r="D14" s="13"/>
      <c r="E14" s="14"/>
      <c r="F14" s="14"/>
      <c r="G14" s="14"/>
      <c r="H14" s="15"/>
      <c r="I14" s="15"/>
      <c r="J14" s="15"/>
      <c r="K14" s="14"/>
      <c r="L14" s="14"/>
      <c r="M14" s="16"/>
      <c r="N14" s="6"/>
      <c r="O14" s="7"/>
    </row>
    <row r="15" spans="2:15">
      <c r="B15" s="17"/>
      <c r="C15" s="18"/>
      <c r="D15" s="19"/>
      <c r="E15" s="20" t="s">
        <v>1</v>
      </c>
      <c r="F15" s="21"/>
      <c r="G15" s="172">
        <v>2006</v>
      </c>
      <c r="H15" s="22"/>
      <c r="I15" s="22"/>
      <c r="J15" s="23"/>
      <c r="K15" s="24"/>
      <c r="L15" s="18"/>
      <c r="M15" s="25"/>
      <c r="N15" s="18"/>
      <c r="O15" s="26"/>
    </row>
    <row r="16" spans="2:15">
      <c r="B16" s="17"/>
      <c r="C16" s="18"/>
      <c r="D16" s="19"/>
      <c r="E16" s="27" t="s">
        <v>2</v>
      </c>
      <c r="F16" s="21"/>
      <c r="G16" s="173" t="s">
        <v>3</v>
      </c>
      <c r="H16" s="184" t="str">
        <f>IF(data2ab="C","'C' Corporation format selected; income taxes WILL be computed","'S' Corporation format selected; income taxes WILL NOT be computed")</f>
        <v>'C' Corporation format selected; income taxes WILL be computed</v>
      </c>
      <c r="I16" s="28"/>
      <c r="J16" s="28"/>
      <c r="K16" s="28"/>
      <c r="L16" s="28"/>
      <c r="M16" s="25"/>
      <c r="N16" s="18"/>
      <c r="O16" s="26"/>
    </row>
    <row r="17" spans="2:15">
      <c r="B17" s="17"/>
      <c r="C17" s="18"/>
      <c r="D17" s="19"/>
      <c r="E17" s="27" t="s">
        <v>129</v>
      </c>
      <c r="F17" s="18"/>
      <c r="G17" s="183">
        <v>1</v>
      </c>
      <c r="H17" s="31" t="s">
        <v>130</v>
      </c>
      <c r="I17" s="29"/>
      <c r="J17" s="18"/>
      <c r="K17" s="18"/>
      <c r="L17" s="18"/>
      <c r="M17" s="25"/>
      <c r="N17" s="18"/>
      <c r="O17" s="26"/>
    </row>
    <row r="18" spans="2:15">
      <c r="B18" s="17"/>
      <c r="C18" s="18"/>
      <c r="D18" s="19"/>
      <c r="E18" s="30" t="s">
        <v>4</v>
      </c>
      <c r="F18" s="18"/>
      <c r="G18" s="29"/>
      <c r="H18" s="207"/>
      <c r="I18" s="57" t="str">
        <f>IF($G$17=1,CONCATENATE("1st ","Qtr"),IF($G$17=2,CONCATENATE("1st ","Year"),"Incorrect Entry"))</f>
        <v>1st Qtr</v>
      </c>
      <c r="J18" s="57" t="str">
        <f>IF($G$17=1,CONCATENATE("2nd ","Qtr"),IF($G$17=2,CONCATENATE("2nd ","Year"),"Incorrect Entry"))</f>
        <v>2nd Qtr</v>
      </c>
      <c r="K18" s="57" t="str">
        <f>IF($G$17=1,CONCATENATE("3rd ","Qtr"),IF($G$17=2,CONCATENATE("3rd ","Year"),"Incorrect Entry"))</f>
        <v>3rd Qtr</v>
      </c>
      <c r="L18" s="57" t="str">
        <f>IF($G$17=1,CONCATENATE("4th ","Qtr"),IF($G$17=2,CONCATENATE("4th ","Year"),"Incorrect Entry"))</f>
        <v>4th Qtr</v>
      </c>
      <c r="M18" s="25"/>
      <c r="N18" s="18"/>
      <c r="O18" s="26"/>
    </row>
    <row r="19" spans="2:15">
      <c r="B19" s="17"/>
      <c r="C19" s="18"/>
      <c r="D19" s="19"/>
      <c r="E19" s="18"/>
      <c r="F19" s="18" t="s">
        <v>5</v>
      </c>
      <c r="G19" s="18"/>
      <c r="H19" s="18"/>
      <c r="I19" s="174">
        <v>30</v>
      </c>
      <c r="J19" s="174">
        <v>30</v>
      </c>
      <c r="K19" s="174">
        <v>30</v>
      </c>
      <c r="L19" s="174">
        <v>30</v>
      </c>
      <c r="M19" s="25"/>
      <c r="N19" s="18"/>
      <c r="O19" s="26"/>
    </row>
    <row r="20" spans="2:15">
      <c r="B20" s="17"/>
      <c r="C20" s="18"/>
      <c r="D20" s="19"/>
      <c r="E20" s="18"/>
      <c r="F20" s="18" t="s">
        <v>6</v>
      </c>
      <c r="G20" s="18"/>
      <c r="H20" s="18"/>
      <c r="I20" s="172">
        <v>30</v>
      </c>
      <c r="J20" s="172">
        <v>30</v>
      </c>
      <c r="K20" s="172">
        <v>30</v>
      </c>
      <c r="L20" s="172">
        <v>30</v>
      </c>
      <c r="M20" s="25"/>
      <c r="N20" s="18"/>
      <c r="O20" s="26"/>
    </row>
    <row r="21" spans="2:15">
      <c r="B21" s="17"/>
      <c r="C21" s="18"/>
      <c r="D21" s="19"/>
      <c r="E21" s="18"/>
      <c r="F21" s="18" t="s">
        <v>7</v>
      </c>
      <c r="G21" s="18"/>
      <c r="H21" s="18"/>
      <c r="I21" s="172">
        <v>45</v>
      </c>
      <c r="J21" s="172">
        <v>45</v>
      </c>
      <c r="K21" s="172">
        <v>45</v>
      </c>
      <c r="L21" s="172">
        <v>45</v>
      </c>
      <c r="M21" s="25"/>
      <c r="N21" s="18"/>
      <c r="O21" s="26"/>
    </row>
    <row r="22" spans="2:15">
      <c r="B22" s="17"/>
      <c r="C22" s="18"/>
      <c r="D22" s="19"/>
      <c r="E22" s="18"/>
      <c r="F22" s="18" t="s">
        <v>8</v>
      </c>
      <c r="G22" s="18"/>
      <c r="H22" s="18"/>
      <c r="I22" s="172">
        <v>60</v>
      </c>
      <c r="J22" s="172">
        <v>60</v>
      </c>
      <c r="K22" s="172">
        <v>60</v>
      </c>
      <c r="L22" s="172">
        <v>60</v>
      </c>
      <c r="M22" s="25"/>
      <c r="N22" s="18"/>
      <c r="O22" s="26"/>
    </row>
    <row r="23" spans="2:15">
      <c r="B23" s="17"/>
      <c r="C23" s="18"/>
      <c r="D23" s="19"/>
      <c r="E23" s="18"/>
      <c r="F23" s="18" t="s">
        <v>9</v>
      </c>
      <c r="G23" s="18"/>
      <c r="H23" s="18"/>
      <c r="I23" s="172">
        <v>7</v>
      </c>
      <c r="J23" s="172">
        <v>7</v>
      </c>
      <c r="K23" s="172">
        <v>7</v>
      </c>
      <c r="L23" s="172">
        <v>7</v>
      </c>
      <c r="M23" s="25"/>
      <c r="N23" s="18"/>
      <c r="O23" s="26"/>
    </row>
    <row r="24" spans="2:15">
      <c r="B24" s="17"/>
      <c r="C24" s="18"/>
      <c r="D24" s="19"/>
      <c r="E24" s="18"/>
      <c r="F24" s="18" t="s">
        <v>10</v>
      </c>
      <c r="G24" s="18"/>
      <c r="H24" s="18"/>
      <c r="I24" s="172">
        <v>20</v>
      </c>
      <c r="J24" s="172">
        <v>20</v>
      </c>
      <c r="K24" s="172">
        <v>20</v>
      </c>
      <c r="L24" s="172">
        <v>20</v>
      </c>
      <c r="M24" s="25"/>
      <c r="N24" s="18"/>
      <c r="O24" s="26"/>
    </row>
    <row r="25" spans="2:15">
      <c r="B25" s="17"/>
      <c r="C25" s="18"/>
      <c r="D25" s="19"/>
      <c r="E25" s="18"/>
      <c r="F25" s="18"/>
      <c r="G25" s="18"/>
      <c r="H25" s="18"/>
      <c r="I25" s="18"/>
      <c r="J25" s="18"/>
      <c r="K25" s="18"/>
      <c r="L25" s="18"/>
      <c r="M25" s="25"/>
      <c r="N25" s="18"/>
      <c r="O25" s="26"/>
    </row>
    <row r="26" spans="2:15">
      <c r="B26" s="17"/>
      <c r="C26" s="18"/>
      <c r="D26" s="19"/>
      <c r="E26" s="31" t="s">
        <v>11</v>
      </c>
      <c r="F26" s="18"/>
      <c r="G26" s="18"/>
      <c r="H26" s="18"/>
      <c r="I26" s="18"/>
      <c r="J26" s="18"/>
      <c r="K26" s="18"/>
      <c r="L26" s="18"/>
      <c r="M26" s="25"/>
      <c r="N26" s="18"/>
      <c r="O26" s="26"/>
    </row>
    <row r="27" spans="2:15">
      <c r="B27" s="17"/>
      <c r="C27" s="18"/>
      <c r="D27" s="19"/>
      <c r="E27" s="18"/>
      <c r="F27" s="18" t="s">
        <v>12</v>
      </c>
      <c r="G27" s="175">
        <v>0.16</v>
      </c>
      <c r="H27" s="32" t="s">
        <v>13</v>
      </c>
      <c r="I27" s="190">
        <f>'Income Statement'!H15*$G27</f>
        <v>320000</v>
      </c>
      <c r="J27" s="190">
        <f>'Income Statement'!I15*$G27</f>
        <v>240000</v>
      </c>
      <c r="K27" s="190">
        <f>'Income Statement'!J15*$G27</f>
        <v>208000</v>
      </c>
      <c r="L27" s="190">
        <f>'Income Statement'!K15*$G27</f>
        <v>321616</v>
      </c>
      <c r="M27" s="25"/>
      <c r="N27" s="18"/>
      <c r="O27" s="26"/>
    </row>
    <row r="28" spans="2:15">
      <c r="B28" s="17"/>
      <c r="C28" s="18"/>
      <c r="D28" s="19"/>
      <c r="E28" s="18"/>
      <c r="F28" s="18" t="s">
        <v>14</v>
      </c>
      <c r="G28" s="175">
        <v>0.12</v>
      </c>
      <c r="H28" s="32" t="s">
        <v>13</v>
      </c>
      <c r="I28" s="190">
        <f>'Income Statement'!H15*$G28</f>
        <v>240000</v>
      </c>
      <c r="J28" s="190">
        <f>'Income Statement'!I15*$G28</f>
        <v>180000</v>
      </c>
      <c r="K28" s="190">
        <f>'Income Statement'!J15*$G28</f>
        <v>156000</v>
      </c>
      <c r="L28" s="190">
        <f>'Income Statement'!K15*$G28</f>
        <v>241212</v>
      </c>
      <c r="M28" s="25"/>
      <c r="N28" s="18"/>
      <c r="O28" s="26"/>
    </row>
    <row r="29" spans="2:15">
      <c r="B29" s="17"/>
      <c r="C29" s="18"/>
      <c r="D29" s="19"/>
      <c r="E29" s="18"/>
      <c r="F29" s="18" t="s">
        <v>15</v>
      </c>
      <c r="G29" s="175">
        <v>0.1</v>
      </c>
      <c r="H29" s="32" t="s">
        <v>16</v>
      </c>
      <c r="I29" s="190">
        <f t="shared" ref="I29:L30" si="0">SUM(I$27:I$28)*$G29</f>
        <v>56000</v>
      </c>
      <c r="J29" s="190">
        <f t="shared" si="0"/>
        <v>42000</v>
      </c>
      <c r="K29" s="190">
        <f t="shared" si="0"/>
        <v>36400</v>
      </c>
      <c r="L29" s="190">
        <f t="shared" si="0"/>
        <v>56282.8</v>
      </c>
      <c r="M29" s="25"/>
      <c r="N29" s="18"/>
      <c r="O29" s="26"/>
    </row>
    <row r="30" spans="2:15">
      <c r="B30" s="17"/>
      <c r="C30" s="18"/>
      <c r="D30" s="19"/>
      <c r="E30" s="18"/>
      <c r="F30" s="18" t="s">
        <v>17</v>
      </c>
      <c r="G30" s="175">
        <v>0.05</v>
      </c>
      <c r="H30" s="32" t="s">
        <v>16</v>
      </c>
      <c r="I30" s="190">
        <f t="shared" si="0"/>
        <v>28000</v>
      </c>
      <c r="J30" s="190">
        <f t="shared" si="0"/>
        <v>21000</v>
      </c>
      <c r="K30" s="190">
        <f t="shared" si="0"/>
        <v>18200</v>
      </c>
      <c r="L30" s="190">
        <f t="shared" si="0"/>
        <v>28141.4</v>
      </c>
      <c r="M30" s="25"/>
      <c r="N30" s="18"/>
      <c r="O30" s="26"/>
    </row>
    <row r="31" spans="2:15">
      <c r="B31" s="17"/>
      <c r="C31" s="18"/>
      <c r="D31" s="19"/>
      <c r="E31" s="18"/>
      <c r="F31" s="18" t="s">
        <v>18</v>
      </c>
      <c r="G31" s="175">
        <v>0.02</v>
      </c>
      <c r="H31" s="32" t="s">
        <v>13</v>
      </c>
      <c r="I31" s="190">
        <f>'Income Statement'!H15*$G31</f>
        <v>40000</v>
      </c>
      <c r="J31" s="190">
        <f>'Income Statement'!I15*$G31</f>
        <v>30000</v>
      </c>
      <c r="K31" s="190">
        <f>'Income Statement'!J15*$G31</f>
        <v>26000</v>
      </c>
      <c r="L31" s="190">
        <f>'Income Statement'!K15*$G31</f>
        <v>40202</v>
      </c>
      <c r="M31" s="25"/>
      <c r="N31" s="18"/>
      <c r="O31" s="26"/>
    </row>
    <row r="32" spans="2:15">
      <c r="B32" s="17"/>
      <c r="C32" s="18"/>
      <c r="D32" s="19"/>
      <c r="E32" s="18"/>
      <c r="F32" s="18" t="s">
        <v>19</v>
      </c>
      <c r="G32" s="175">
        <v>0.03</v>
      </c>
      <c r="H32" s="32" t="s">
        <v>13</v>
      </c>
      <c r="I32" s="190">
        <f>'Income Statement'!H15*$G32</f>
        <v>60000</v>
      </c>
      <c r="J32" s="190">
        <f>'Income Statement'!I15*$G32</f>
        <v>45000</v>
      </c>
      <c r="K32" s="190">
        <f>'Income Statement'!J15*$G32</f>
        <v>39000</v>
      </c>
      <c r="L32" s="190">
        <f>'Income Statement'!K15*$G32</f>
        <v>60303</v>
      </c>
      <c r="M32" s="25"/>
      <c r="N32" s="18"/>
      <c r="O32" s="26"/>
    </row>
    <row r="33" spans="2:15">
      <c r="B33" s="17"/>
      <c r="C33" s="18"/>
      <c r="D33" s="19"/>
      <c r="E33" s="18"/>
      <c r="F33" s="18"/>
      <c r="G33" s="33"/>
      <c r="H33" s="18"/>
      <c r="I33" s="18"/>
      <c r="J33" s="18"/>
      <c r="K33" s="18"/>
      <c r="L33" s="18"/>
      <c r="M33" s="25"/>
      <c r="N33" s="18"/>
      <c r="O33" s="26"/>
    </row>
    <row r="34" spans="2:15">
      <c r="B34" s="17"/>
      <c r="C34" s="18"/>
      <c r="D34" s="19"/>
      <c r="E34" s="31" t="str">
        <f>"Financing Data ("&amp;FIXED(H18,0,TRUE)&amp;" on)"</f>
        <v>Financing Data (0 on)</v>
      </c>
      <c r="F34" s="18"/>
      <c r="G34" s="18"/>
      <c r="H34" s="34" t="s">
        <v>20</v>
      </c>
      <c r="I34" s="34" t="s">
        <v>21</v>
      </c>
      <c r="J34" s="34" t="s">
        <v>22</v>
      </c>
      <c r="K34" s="34" t="s">
        <v>23</v>
      </c>
      <c r="L34" s="34" t="s">
        <v>24</v>
      </c>
      <c r="M34" s="25"/>
      <c r="N34" s="18"/>
      <c r="O34" s="26"/>
    </row>
    <row r="35" spans="2:15">
      <c r="B35" s="17"/>
      <c r="C35" s="18"/>
      <c r="D35" s="19"/>
      <c r="E35" s="18"/>
      <c r="F35" s="18" t="s">
        <v>25</v>
      </c>
      <c r="G35" s="18"/>
      <c r="H35" s="35"/>
      <c r="I35" s="36"/>
      <c r="J35" s="168">
        <v>100000</v>
      </c>
      <c r="K35" s="168">
        <v>500000</v>
      </c>
      <c r="L35" s="175">
        <v>0.1</v>
      </c>
      <c r="M35" s="25"/>
      <c r="N35" s="18"/>
      <c r="O35" s="26"/>
    </row>
    <row r="36" spans="2:15">
      <c r="B36" s="17"/>
      <c r="C36" s="18"/>
      <c r="D36" s="19"/>
      <c r="E36" s="18"/>
      <c r="F36" s="18" t="s">
        <v>26</v>
      </c>
      <c r="G36" s="18"/>
      <c r="H36" s="37"/>
      <c r="I36" s="18"/>
      <c r="J36" s="168">
        <v>50000</v>
      </c>
      <c r="K36" s="18"/>
      <c r="L36" s="175">
        <v>0.1</v>
      </c>
      <c r="M36" s="25"/>
      <c r="N36" s="18"/>
      <c r="O36" s="26"/>
    </row>
    <row r="37" spans="2:15">
      <c r="B37" s="17"/>
      <c r="C37" s="18"/>
      <c r="D37" s="19"/>
      <c r="E37" s="18"/>
      <c r="F37" s="18" t="s">
        <v>27</v>
      </c>
      <c r="G37" s="18"/>
      <c r="H37" s="37"/>
      <c r="I37" s="168">
        <v>100000</v>
      </c>
      <c r="J37" s="18"/>
      <c r="K37" s="18"/>
      <c r="L37" s="38"/>
      <c r="M37" s="25"/>
      <c r="N37" s="18"/>
      <c r="O37" s="26"/>
    </row>
    <row r="38" spans="2:15">
      <c r="B38" s="17"/>
      <c r="C38" s="18"/>
      <c r="D38" s="19"/>
      <c r="E38" s="18"/>
      <c r="F38" s="18" t="s">
        <v>28</v>
      </c>
      <c r="G38" s="18"/>
      <c r="H38" s="37"/>
      <c r="I38" s="168">
        <v>50000</v>
      </c>
      <c r="J38" s="18"/>
      <c r="K38" s="18"/>
      <c r="L38" s="38"/>
      <c r="M38" s="25"/>
      <c r="N38" s="18"/>
      <c r="O38" s="26"/>
    </row>
    <row r="39" spans="2:15">
      <c r="B39" s="17"/>
      <c r="C39" s="18"/>
      <c r="D39" s="19"/>
      <c r="E39" s="18"/>
      <c r="F39" s="18" t="s">
        <v>134</v>
      </c>
      <c r="G39" s="18"/>
      <c r="H39" s="168">
        <v>400000</v>
      </c>
      <c r="I39" s="39"/>
      <c r="J39" s="39"/>
      <c r="K39" s="39"/>
      <c r="L39" s="40"/>
      <c r="M39" s="25"/>
      <c r="N39" s="18"/>
      <c r="O39" s="26"/>
    </row>
    <row r="40" spans="2:15" ht="13.5" thickBot="1">
      <c r="B40" s="17"/>
      <c r="C40" s="18"/>
      <c r="D40" s="41"/>
      <c r="E40" s="42"/>
      <c r="F40" s="42"/>
      <c r="G40" s="42"/>
      <c r="H40" s="42"/>
      <c r="I40" s="42"/>
      <c r="J40" s="42"/>
      <c r="K40" s="42"/>
      <c r="L40" s="42"/>
      <c r="M40" s="43"/>
      <c r="N40" s="18"/>
      <c r="O40" s="26"/>
    </row>
    <row r="41" spans="2:15" ht="13.5" thickBot="1">
      <c r="B41" s="17"/>
      <c r="C41" s="18"/>
      <c r="D41" s="18"/>
      <c r="E41" s="18"/>
      <c r="F41" s="18"/>
      <c r="G41" s="18"/>
      <c r="H41" s="18"/>
      <c r="I41" s="18"/>
      <c r="J41" s="18"/>
      <c r="K41" s="18"/>
      <c r="L41" s="18"/>
      <c r="M41" s="18"/>
      <c r="N41" s="18"/>
      <c r="O41" s="26"/>
    </row>
    <row r="42" spans="2:15" ht="3" customHeight="1" thickTop="1">
      <c r="B42" s="17"/>
      <c r="C42" s="18"/>
      <c r="D42" s="44"/>
      <c r="E42" s="44"/>
      <c r="F42" s="44"/>
      <c r="G42" s="44"/>
      <c r="H42" s="44"/>
      <c r="I42" s="44"/>
      <c r="J42" s="44"/>
      <c r="K42" s="44"/>
      <c r="L42" s="44"/>
      <c r="M42" s="44"/>
      <c r="N42" s="18"/>
      <c r="O42" s="26"/>
    </row>
    <row r="43" spans="2:15">
      <c r="B43" s="17"/>
      <c r="C43" s="18"/>
      <c r="D43" s="18"/>
      <c r="E43" s="18"/>
      <c r="F43" s="18"/>
      <c r="G43" s="18"/>
      <c r="H43" s="18"/>
      <c r="I43" s="18"/>
      <c r="J43" s="18"/>
      <c r="K43" s="18"/>
      <c r="L43" s="18"/>
      <c r="M43" s="18"/>
      <c r="N43" s="18"/>
      <c r="O43" s="26"/>
    </row>
    <row r="44" spans="2:15">
      <c r="B44" s="45"/>
      <c r="C44" s="46"/>
      <c r="D44" s="6"/>
      <c r="E44" s="6"/>
      <c r="F44" s="6"/>
      <c r="G44" s="6"/>
      <c r="H44" s="6"/>
      <c r="I44" s="6"/>
      <c r="J44" s="6"/>
      <c r="K44" s="6"/>
      <c r="L44" s="6"/>
      <c r="M44" s="6"/>
      <c r="N44" s="6"/>
      <c r="O44" s="47"/>
    </row>
    <row r="45" spans="2:15">
      <c r="B45" s="17"/>
      <c r="C45" s="18"/>
      <c r="D45" s="89"/>
      <c r="E45" s="89"/>
      <c r="F45" s="89"/>
      <c r="G45" s="89"/>
      <c r="H45" s="89"/>
      <c r="I45" s="89"/>
      <c r="J45" s="89"/>
      <c r="K45" s="89"/>
      <c r="L45" s="89"/>
      <c r="M45" s="89"/>
      <c r="N45" s="89"/>
      <c r="O45" s="26"/>
    </row>
    <row r="46" spans="2:15">
      <c r="B46" s="17"/>
      <c r="C46" s="18"/>
      <c r="D46" s="214"/>
      <c r="E46" s="215"/>
      <c r="F46" s="215"/>
      <c r="G46" s="215"/>
      <c r="H46" s="215"/>
      <c r="I46" s="215"/>
      <c r="J46" s="215"/>
      <c r="K46" s="215"/>
      <c r="L46" s="215"/>
      <c r="M46" s="215"/>
      <c r="N46" s="89"/>
      <c r="O46" s="26"/>
    </row>
    <row r="47" spans="2:15">
      <c r="B47" s="17"/>
      <c r="C47" s="18"/>
      <c r="D47" s="89"/>
      <c r="E47" s="89"/>
      <c r="F47" s="89"/>
      <c r="G47" s="89"/>
      <c r="H47" s="89"/>
      <c r="I47" s="89"/>
      <c r="J47" s="89"/>
      <c r="K47" s="89"/>
      <c r="L47" s="89"/>
      <c r="M47" s="89"/>
      <c r="N47" s="89"/>
      <c r="O47" s="26"/>
    </row>
    <row r="48" spans="2:15" ht="13.5" thickBot="1">
      <c r="B48" s="91"/>
      <c r="C48" s="92"/>
      <c r="D48" s="93"/>
      <c r="E48" s="93"/>
      <c r="F48" s="93"/>
      <c r="G48" s="93"/>
      <c r="H48" s="93"/>
      <c r="I48" s="93"/>
      <c r="J48" s="93"/>
      <c r="K48" s="93"/>
      <c r="L48" s="93"/>
      <c r="M48" s="93"/>
      <c r="N48" s="93"/>
      <c r="O48" s="94"/>
    </row>
    <row r="49" ht="13.5" thickTop="1"/>
  </sheetData>
  <mergeCells count="4">
    <mergeCell ref="D7:M7"/>
    <mergeCell ref="D6:M6"/>
    <mergeCell ref="D46:M46"/>
    <mergeCell ref="D4:M4"/>
  </mergeCells>
  <phoneticPr fontId="3" type="noConversion"/>
  <printOptions horizontalCentered="1"/>
  <pageMargins left="0.75" right="0.75" top="1" bottom="1" header="0.5" footer="0.5"/>
  <pageSetup scale="71" orientation="portrait" horizontalDpi="300" verticalDpi="300" r:id="rId1"/>
  <headerFooter alignWithMargins="0"/>
  <rowBreaks count="1" manualBreakCount="1">
    <brk id="43" min="3"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O70"/>
  <sheetViews>
    <sheetView showGridLines="0" showRowColHeaders="0" defaultGridColor="0" colorId="7" zoomScaleNormal="100" workbookViewId="0"/>
  </sheetViews>
  <sheetFormatPr defaultRowHeight="12.75"/>
  <cols>
    <col min="1" max="2" width="1.28515625" style="161" customWidth="1"/>
    <col min="3" max="3" width="3.7109375" style="161" customWidth="1"/>
    <col min="4" max="4" width="3.7109375" style="162" customWidth="1"/>
    <col min="5" max="5" width="1.42578125" style="162" customWidth="1"/>
    <col min="6" max="6" width="15.42578125" style="162" customWidth="1"/>
    <col min="7" max="7" width="13.28515625" style="162" customWidth="1"/>
    <col min="8" max="8" width="17.42578125" style="162" customWidth="1"/>
    <col min="9" max="12" width="13.7109375" style="162" customWidth="1"/>
    <col min="13" max="13" width="15.7109375" style="162" customWidth="1"/>
    <col min="14" max="14" width="1.85546875" style="162" customWidth="1"/>
    <col min="15" max="15" width="1.7109375" style="162" customWidth="1"/>
    <col min="16" max="16" width="0.42578125" style="162" customWidth="1"/>
    <col min="17" max="18" width="10.28515625" style="162" customWidth="1"/>
    <col min="19" max="16384" width="9.140625" style="162"/>
  </cols>
  <sheetData>
    <row r="1" spans="1:15" s="1" customFormat="1" ht="5.25" customHeight="1"/>
    <row r="2" spans="1:15" s="1" customFormat="1" ht="13.5" thickBot="1"/>
    <row r="3" spans="1:15" s="1" customFormat="1" ht="13.5" thickTop="1">
      <c r="A3" s="163"/>
      <c r="B3" s="3"/>
      <c r="C3" s="3"/>
      <c r="D3" s="3"/>
      <c r="E3" s="3"/>
      <c r="F3" s="3"/>
      <c r="G3" s="3"/>
      <c r="H3" s="3"/>
      <c r="I3" s="3"/>
      <c r="J3" s="3"/>
      <c r="K3" s="3"/>
      <c r="L3" s="3"/>
      <c r="M3" s="3"/>
      <c r="N3" s="3"/>
      <c r="O3" s="4"/>
    </row>
    <row r="4" spans="1:15" s="1" customFormat="1">
      <c r="A4" s="163"/>
      <c r="B4" s="6"/>
      <c r="C4" s="6"/>
      <c r="D4" s="6"/>
      <c r="E4" s="6"/>
      <c r="F4" s="6"/>
      <c r="G4" s="6"/>
      <c r="H4" s="6"/>
      <c r="I4" s="6"/>
      <c r="J4" s="6"/>
      <c r="K4" s="6"/>
      <c r="L4" s="6"/>
      <c r="M4" s="6"/>
      <c r="N4" s="6"/>
      <c r="O4" s="7"/>
    </row>
    <row r="5" spans="1:15" s="1" customFormat="1">
      <c r="A5" s="164"/>
      <c r="B5" s="9"/>
      <c r="C5" s="9"/>
      <c r="D5" s="191" t="s">
        <v>29</v>
      </c>
      <c r="E5" s="191"/>
      <c r="F5" s="191"/>
      <c r="G5" s="191"/>
      <c r="H5" s="191"/>
      <c r="I5" s="191"/>
      <c r="J5" s="191"/>
      <c r="K5" s="191"/>
      <c r="L5" s="192"/>
      <c r="M5" s="192"/>
      <c r="N5" s="6"/>
      <c r="O5" s="47"/>
    </row>
    <row r="6" spans="1:15" s="1" customFormat="1">
      <c r="A6" s="163"/>
      <c r="B6" s="6"/>
      <c r="C6" s="6"/>
      <c r="D6" s="6"/>
      <c r="E6" s="6"/>
      <c r="F6" s="6"/>
      <c r="G6" s="6"/>
      <c r="H6" s="6"/>
      <c r="I6" s="6"/>
      <c r="J6" s="6"/>
      <c r="K6" s="6"/>
      <c r="L6" s="6"/>
      <c r="M6" s="6"/>
      <c r="N6" s="6"/>
      <c r="O6" s="47"/>
    </row>
    <row r="7" spans="1:15" s="1" customFormat="1" ht="13.5" thickBot="1">
      <c r="A7" s="163"/>
      <c r="B7" s="6"/>
      <c r="C7" s="6"/>
      <c r="D7" s="6"/>
      <c r="E7" s="6"/>
      <c r="F7" s="6"/>
      <c r="G7" s="6"/>
      <c r="H7" s="6"/>
      <c r="I7" s="6"/>
      <c r="J7" s="6"/>
      <c r="K7" s="6"/>
      <c r="L7" s="6"/>
      <c r="M7" s="6"/>
      <c r="N7" s="6"/>
      <c r="O7" s="47"/>
    </row>
    <row r="8" spans="1:15" s="1" customFormat="1" ht="3" customHeight="1" thickTop="1">
      <c r="A8" s="163"/>
      <c r="B8" s="6"/>
      <c r="C8" s="6"/>
      <c r="D8" s="12"/>
      <c r="E8" s="12"/>
      <c r="F8" s="12"/>
      <c r="G8" s="12"/>
      <c r="H8" s="12"/>
      <c r="I8" s="12"/>
      <c r="J8" s="12"/>
      <c r="K8" s="12"/>
      <c r="L8" s="12"/>
      <c r="M8" s="12"/>
      <c r="N8" s="6"/>
      <c r="O8" s="47"/>
    </row>
    <row r="9" spans="1:15" s="1" customFormat="1">
      <c r="A9" s="163"/>
      <c r="B9" s="6"/>
      <c r="C9" s="6"/>
      <c r="D9" s="6"/>
      <c r="E9" s="6"/>
      <c r="F9" s="6"/>
      <c r="G9" s="6"/>
      <c r="H9" s="6"/>
      <c r="I9" s="6"/>
      <c r="J9" s="6"/>
      <c r="K9" s="6"/>
      <c r="L9" s="6"/>
      <c r="M9" s="6"/>
      <c r="N9" s="6"/>
      <c r="O9" s="47"/>
    </row>
    <row r="10" spans="1:15" s="1" customFormat="1" ht="13.5" thickBot="1">
      <c r="A10" s="163"/>
      <c r="B10" s="6"/>
      <c r="C10" s="6"/>
      <c r="D10" s="6"/>
      <c r="E10" s="6"/>
      <c r="F10" s="6"/>
      <c r="G10" s="6"/>
      <c r="H10" s="6"/>
      <c r="I10" s="6"/>
      <c r="J10" s="6"/>
      <c r="K10" s="6"/>
      <c r="L10" s="6"/>
      <c r="M10" s="6"/>
      <c r="N10" s="6"/>
      <c r="O10" s="47"/>
    </row>
    <row r="11" spans="1:15" s="1" customFormat="1">
      <c r="A11" s="163"/>
      <c r="B11" s="6"/>
      <c r="C11" s="6"/>
      <c r="D11" s="48"/>
      <c r="E11" s="49"/>
      <c r="F11" s="49"/>
      <c r="G11" s="49"/>
      <c r="H11" s="49"/>
      <c r="I11" s="49"/>
      <c r="J11" s="49"/>
      <c r="K11" s="49"/>
      <c r="L11" s="50"/>
      <c r="M11" s="51"/>
      <c r="N11" s="18"/>
      <c r="O11" s="52"/>
    </row>
    <row r="12" spans="1:15" s="1" customFormat="1">
      <c r="A12" s="163"/>
      <c r="B12" s="6"/>
      <c r="C12" s="6"/>
      <c r="D12" s="19"/>
      <c r="E12" s="18"/>
      <c r="F12" s="18" t="str">
        <f>'Balance Sheet'!F13</f>
        <v xml:space="preserve"> </v>
      </c>
      <c r="G12" s="18"/>
      <c r="H12" s="53" t="s">
        <v>30</v>
      </c>
      <c r="I12" s="54"/>
      <c r="J12" s="54"/>
      <c r="K12" s="55"/>
      <c r="L12" s="56" t="s">
        <v>31</v>
      </c>
      <c r="M12" s="25"/>
      <c r="N12" s="18"/>
      <c r="O12" s="52"/>
    </row>
    <row r="13" spans="1:15" s="1" customFormat="1">
      <c r="A13" s="163"/>
      <c r="B13" s="6"/>
      <c r="C13" s="6"/>
      <c r="D13" s="19"/>
      <c r="E13" s="18"/>
      <c r="F13" s="18"/>
      <c r="G13" s="18"/>
      <c r="H13" s="57" t="str">
        <f>'Data Entry'!I18</f>
        <v>1st Qtr</v>
      </c>
      <c r="I13" s="57" t="str">
        <f>'Data Entry'!J18</f>
        <v>2nd Qtr</v>
      </c>
      <c r="J13" s="57" t="str">
        <f>'Data Entry'!K18</f>
        <v>3rd Qtr</v>
      </c>
      <c r="K13" s="57" t="str">
        <f>'Data Entry'!L18</f>
        <v>4th Qtr</v>
      </c>
      <c r="L13" s="57" t="str">
        <f>IF('Data Entry'!$G$17=1,"4 Quarters",IF('Data Entry'!$G$17=2,"4 Years","No Entry"))</f>
        <v>4 Quarters</v>
      </c>
      <c r="M13" s="25"/>
      <c r="N13" s="18"/>
      <c r="O13" s="52"/>
    </row>
    <row r="14" spans="1:15" s="1" customFormat="1">
      <c r="A14" s="163"/>
      <c r="B14" s="18"/>
      <c r="C14" s="18"/>
      <c r="D14" s="19"/>
      <c r="E14" s="31" t="s">
        <v>32</v>
      </c>
      <c r="F14" s="18"/>
      <c r="G14" s="18"/>
      <c r="H14" s="18"/>
      <c r="I14" s="18"/>
      <c r="J14" s="18"/>
      <c r="K14" s="18"/>
      <c r="L14" s="18"/>
      <c r="M14" s="25"/>
      <c r="N14" s="18"/>
      <c r="O14" s="52"/>
    </row>
    <row r="15" spans="1:15" s="1" customFormat="1">
      <c r="A15" s="163"/>
      <c r="B15" s="18"/>
      <c r="C15" s="18"/>
      <c r="D15" s="19"/>
      <c r="E15" s="18"/>
      <c r="F15" s="18" t="s">
        <v>32</v>
      </c>
      <c r="G15" s="18"/>
      <c r="H15" s="165">
        <v>2000000</v>
      </c>
      <c r="I15" s="165">
        <v>1500000</v>
      </c>
      <c r="J15" s="165">
        <v>1300000</v>
      </c>
      <c r="K15" s="165">
        <v>2010100</v>
      </c>
      <c r="L15" s="190">
        <f>SUM(H15:K15)</f>
        <v>6810100</v>
      </c>
      <c r="M15" s="25"/>
      <c r="N15" s="18"/>
      <c r="O15" s="52"/>
    </row>
    <row r="16" spans="1:15" s="1" customFormat="1">
      <c r="A16" s="163"/>
      <c r="B16" s="18"/>
      <c r="C16" s="18"/>
      <c r="D16" s="19"/>
      <c r="E16" s="18"/>
      <c r="F16" s="18" t="s">
        <v>33</v>
      </c>
      <c r="G16" s="18"/>
      <c r="H16" s="190">
        <f>SUM(H51:H53)</f>
        <v>945000</v>
      </c>
      <c r="I16" s="190">
        <f>SUM(I51:I53)</f>
        <v>865000</v>
      </c>
      <c r="J16" s="190">
        <f>SUM(J51:J53)</f>
        <v>833000</v>
      </c>
      <c r="K16" s="190">
        <f>SUM(K51:K53)</f>
        <v>1071616</v>
      </c>
      <c r="L16" s="190">
        <f>SUM(H16:K16)</f>
        <v>3714616</v>
      </c>
      <c r="M16" s="25"/>
      <c r="N16" s="18"/>
      <c r="O16" s="52"/>
    </row>
    <row r="17" spans="1:15" s="1" customFormat="1">
      <c r="A17" s="163"/>
      <c r="B17" s="18"/>
      <c r="C17" s="18"/>
      <c r="D17" s="58"/>
      <c r="E17" s="59"/>
      <c r="F17" s="18"/>
      <c r="G17" s="18"/>
      <c r="H17" s="18"/>
      <c r="I17" s="18"/>
      <c r="J17" s="18"/>
      <c r="K17" s="18"/>
      <c r="L17" s="18"/>
      <c r="M17" s="25"/>
      <c r="N17" s="18"/>
      <c r="O17" s="52"/>
    </row>
    <row r="18" spans="1:15" s="1" customFormat="1">
      <c r="A18" s="163"/>
      <c r="B18" s="18"/>
      <c r="C18" s="18"/>
      <c r="D18" s="19"/>
      <c r="E18" s="18"/>
      <c r="F18" s="18"/>
      <c r="G18" s="60" t="s">
        <v>34</v>
      </c>
      <c r="H18" s="190">
        <f>H15-H16</f>
        <v>1055000</v>
      </c>
      <c r="I18" s="190">
        <f>I15-I16</f>
        <v>635000</v>
      </c>
      <c r="J18" s="190">
        <f>J15-J16</f>
        <v>467000</v>
      </c>
      <c r="K18" s="190">
        <f>K15-K16</f>
        <v>938484</v>
      </c>
      <c r="L18" s="190">
        <f>SUM(H18:K18)</f>
        <v>3095484</v>
      </c>
      <c r="M18" s="25"/>
      <c r="N18" s="18"/>
      <c r="O18" s="52"/>
    </row>
    <row r="19" spans="1:15" s="1" customFormat="1">
      <c r="A19" s="163"/>
      <c r="B19" s="18"/>
      <c r="C19" s="18"/>
      <c r="D19" s="19"/>
      <c r="E19" s="18"/>
      <c r="F19" s="18"/>
      <c r="G19" s="18"/>
      <c r="H19" s="18"/>
      <c r="I19" s="18"/>
      <c r="J19" s="18"/>
      <c r="K19" s="18"/>
      <c r="L19" s="18"/>
      <c r="M19" s="25"/>
      <c r="N19" s="18"/>
      <c r="O19" s="52"/>
    </row>
    <row r="20" spans="1:15" s="1" customFormat="1">
      <c r="A20" s="163"/>
      <c r="B20" s="18"/>
      <c r="C20" s="18"/>
      <c r="D20" s="19"/>
      <c r="E20" s="31" t="s">
        <v>35</v>
      </c>
      <c r="F20" s="18"/>
      <c r="G20" s="18"/>
      <c r="H20" s="61"/>
      <c r="I20" s="61"/>
      <c r="J20" s="61"/>
      <c r="K20" s="61"/>
      <c r="L20" s="61"/>
      <c r="M20" s="25"/>
      <c r="N20" s="18"/>
      <c r="O20" s="52"/>
    </row>
    <row r="21" spans="1:15" s="1" customFormat="1">
      <c r="A21" s="163"/>
      <c r="B21" s="18"/>
      <c r="C21" s="18"/>
      <c r="D21" s="19"/>
      <c r="E21" s="18"/>
      <c r="F21" s="18" t="s">
        <v>36</v>
      </c>
      <c r="G21" s="18"/>
      <c r="H21" s="190">
        <f>SUM('Data Entry'!I28:I32)</f>
        <v>424000</v>
      </c>
      <c r="I21" s="190">
        <f>SUM('Data Entry'!J28:J32)</f>
        <v>318000</v>
      </c>
      <c r="J21" s="190">
        <f>SUM('Data Entry'!K28:K32)</f>
        <v>275600</v>
      </c>
      <c r="K21" s="190">
        <f>SUM('Data Entry'!L28:L32)</f>
        <v>426141.2</v>
      </c>
      <c r="L21" s="190">
        <f>SUM(H21:K21)</f>
        <v>1443741.2</v>
      </c>
      <c r="M21" s="25"/>
      <c r="N21" s="18"/>
      <c r="O21" s="52"/>
    </row>
    <row r="22" spans="1:15" s="1" customFormat="1">
      <c r="A22" s="163"/>
      <c r="B22" s="18"/>
      <c r="C22" s="18"/>
      <c r="D22" s="19"/>
      <c r="E22" s="18"/>
      <c r="F22" s="18" t="s">
        <v>37</v>
      </c>
      <c r="G22" s="18"/>
      <c r="H22" s="190">
        <f>H60+H61</f>
        <v>16250</v>
      </c>
      <c r="I22" s="190">
        <f>I60+I61</f>
        <v>16250</v>
      </c>
      <c r="J22" s="190">
        <f>J60+J61</f>
        <v>16250</v>
      </c>
      <c r="K22" s="190">
        <f>K60+K61</f>
        <v>16250</v>
      </c>
      <c r="L22" s="190">
        <f>SUM(H22:K22)</f>
        <v>65000</v>
      </c>
      <c r="M22" s="25"/>
      <c r="N22" s="18"/>
      <c r="O22" s="52"/>
    </row>
    <row r="23" spans="1:15" s="1" customFormat="1">
      <c r="A23" s="163"/>
      <c r="B23" s="18"/>
      <c r="C23" s="18"/>
      <c r="D23" s="19"/>
      <c r="E23" s="18"/>
      <c r="F23" s="18" t="s">
        <v>20</v>
      </c>
      <c r="G23" s="18"/>
      <c r="H23" s="190">
        <f>H56+H57</f>
        <v>32500</v>
      </c>
      <c r="I23" s="190">
        <f>I56+I57</f>
        <v>33958</v>
      </c>
      <c r="J23" s="190">
        <f>J56+J57</f>
        <v>33958</v>
      </c>
      <c r="K23" s="190">
        <f>K56+K57</f>
        <v>33958</v>
      </c>
      <c r="L23" s="190">
        <f>SUM(H23:K23)</f>
        <v>134374</v>
      </c>
      <c r="M23" s="25"/>
      <c r="N23" s="18"/>
      <c r="O23" s="52"/>
    </row>
    <row r="24" spans="1:15" s="1" customFormat="1">
      <c r="A24" s="163"/>
      <c r="B24" s="18"/>
      <c r="C24" s="18"/>
      <c r="D24" s="19"/>
      <c r="E24" s="18"/>
      <c r="F24" s="18" t="s">
        <v>38</v>
      </c>
      <c r="G24" s="18"/>
      <c r="H24" s="165">
        <v>1250</v>
      </c>
      <c r="I24" s="165">
        <v>1250</v>
      </c>
      <c r="J24" s="165">
        <v>1250</v>
      </c>
      <c r="K24" s="165">
        <v>1250</v>
      </c>
      <c r="L24" s="190">
        <f>SUM(H24:K24)</f>
        <v>5000</v>
      </c>
      <c r="M24" s="25"/>
      <c r="N24" s="18"/>
      <c r="O24" s="52"/>
    </row>
    <row r="25" spans="1:15" s="1" customFormat="1">
      <c r="A25" s="163"/>
      <c r="B25" s="18"/>
      <c r="C25" s="18"/>
      <c r="D25" s="19"/>
      <c r="E25" s="18"/>
      <c r="F25" s="18"/>
      <c r="G25" s="60" t="s">
        <v>39</v>
      </c>
      <c r="H25" s="190">
        <f>SUM(H21:H24)</f>
        <v>474000</v>
      </c>
      <c r="I25" s="190">
        <f>SUM(I21:I24)</f>
        <v>369458</v>
      </c>
      <c r="J25" s="190">
        <f>SUM(J21:J24)</f>
        <v>327058</v>
      </c>
      <c r="K25" s="190">
        <f>SUM(K21:K24)</f>
        <v>477599.2</v>
      </c>
      <c r="L25" s="190">
        <f>SUM(H25:K25)</f>
        <v>1648115.2</v>
      </c>
      <c r="M25" s="25"/>
      <c r="N25" s="18"/>
      <c r="O25" s="52"/>
    </row>
    <row r="26" spans="1:15" s="1" customFormat="1">
      <c r="A26" s="163"/>
      <c r="B26" s="18"/>
      <c r="C26" s="18"/>
      <c r="D26" s="19"/>
      <c r="E26" s="18"/>
      <c r="F26" s="18"/>
      <c r="G26" s="18"/>
      <c r="H26" s="18"/>
      <c r="I26" s="18"/>
      <c r="J26" s="18"/>
      <c r="K26" s="18"/>
      <c r="L26" s="18"/>
      <c r="M26" s="25"/>
      <c r="N26" s="18"/>
      <c r="O26" s="52"/>
    </row>
    <row r="27" spans="1:15" s="1" customFormat="1">
      <c r="A27" s="163"/>
      <c r="B27" s="18"/>
      <c r="C27" s="18"/>
      <c r="D27" s="19"/>
      <c r="E27" s="18"/>
      <c r="F27" s="18"/>
      <c r="G27" s="60" t="s">
        <v>40</v>
      </c>
      <c r="H27" s="190">
        <f>H18-H25</f>
        <v>581000</v>
      </c>
      <c r="I27" s="190">
        <f>I18-I25</f>
        <v>265542</v>
      </c>
      <c r="J27" s="190">
        <f>J18-J25</f>
        <v>139942</v>
      </c>
      <c r="K27" s="190">
        <f>K18-K25</f>
        <v>460884.8</v>
      </c>
      <c r="L27" s="190">
        <f>SUM(H27:K27)</f>
        <v>1447368.8</v>
      </c>
      <c r="M27" s="25"/>
      <c r="N27" s="18"/>
      <c r="O27" s="52"/>
    </row>
    <row r="28" spans="1:15" s="1" customFormat="1">
      <c r="A28" s="163"/>
      <c r="B28" s="18"/>
      <c r="C28" s="18"/>
      <c r="D28" s="19"/>
      <c r="E28" s="18"/>
      <c r="F28" s="18"/>
      <c r="G28" s="18"/>
      <c r="H28" s="18"/>
      <c r="I28" s="18"/>
      <c r="J28" s="18"/>
      <c r="K28" s="18"/>
      <c r="L28" s="18"/>
      <c r="M28" s="25"/>
      <c r="N28" s="18"/>
      <c r="O28" s="52"/>
    </row>
    <row r="29" spans="1:15" s="1" customFormat="1">
      <c r="A29" s="163"/>
      <c r="B29" s="18"/>
      <c r="C29" s="18"/>
      <c r="D29" s="19"/>
      <c r="E29" s="31" t="s">
        <v>41</v>
      </c>
      <c r="F29" s="18"/>
      <c r="G29" s="18"/>
      <c r="H29" s="18"/>
      <c r="I29" s="18"/>
      <c r="J29" s="18"/>
      <c r="K29" s="18"/>
      <c r="L29" s="18"/>
      <c r="M29" s="25"/>
      <c r="N29" s="18"/>
      <c r="O29" s="52"/>
    </row>
    <row r="30" spans="1:15" s="1" customFormat="1">
      <c r="A30" s="163"/>
      <c r="B30" s="18"/>
      <c r="C30" s="18"/>
      <c r="D30" s="19"/>
      <c r="E30" s="18"/>
      <c r="F30" s="18" t="s">
        <v>42</v>
      </c>
      <c r="G30" s="18"/>
      <c r="H30" s="165">
        <v>100000</v>
      </c>
      <c r="I30" s="165">
        <v>10000</v>
      </c>
      <c r="J30" s="165">
        <v>3000</v>
      </c>
      <c r="K30" s="165">
        <v>405700</v>
      </c>
      <c r="L30" s="190">
        <f>SUM(H30:K30)</f>
        <v>518700</v>
      </c>
      <c r="M30" s="25"/>
      <c r="N30" s="18"/>
      <c r="O30" s="52"/>
    </row>
    <row r="31" spans="1:15" s="1" customFormat="1">
      <c r="A31" s="163"/>
      <c r="B31" s="18"/>
      <c r="C31" s="18"/>
      <c r="D31" s="19"/>
      <c r="E31" s="18"/>
      <c r="F31" s="18" t="s">
        <v>43</v>
      </c>
      <c r="G31" s="18"/>
      <c r="H31" s="165">
        <v>20000</v>
      </c>
      <c r="I31" s="165">
        <v>50000</v>
      </c>
      <c r="J31" s="165">
        <v>100000</v>
      </c>
      <c r="K31" s="165">
        <v>200000</v>
      </c>
      <c r="L31" s="190">
        <f>SUM(H31:K31)</f>
        <v>370000</v>
      </c>
      <c r="M31" s="25"/>
      <c r="N31" s="18"/>
      <c r="O31" s="52"/>
    </row>
    <row r="32" spans="1:15" s="1" customFormat="1">
      <c r="A32" s="163"/>
      <c r="B32" s="18"/>
      <c r="C32" s="18"/>
      <c r="D32" s="19"/>
      <c r="E32" s="18"/>
      <c r="F32" s="18"/>
      <c r="G32" s="24" t="s">
        <v>44</v>
      </c>
      <c r="H32" s="190">
        <f>SUM(H30:H31)</f>
        <v>120000</v>
      </c>
      <c r="I32" s="190">
        <f>SUM(I30:I31)</f>
        <v>60000</v>
      </c>
      <c r="J32" s="190">
        <f>SUM(J30:J31)</f>
        <v>103000</v>
      </c>
      <c r="K32" s="190">
        <f>SUM(K30:K31)</f>
        <v>605700</v>
      </c>
      <c r="L32" s="190">
        <f>SUM(H32:K32)</f>
        <v>888700</v>
      </c>
      <c r="M32" s="25"/>
      <c r="N32" s="18"/>
      <c r="O32" s="52"/>
    </row>
    <row r="33" spans="1:15" s="1" customFormat="1">
      <c r="A33" s="163"/>
      <c r="B33" s="18"/>
      <c r="C33" s="18"/>
      <c r="D33" s="19"/>
      <c r="E33" s="18"/>
      <c r="F33" s="18"/>
      <c r="G33" s="18"/>
      <c r="H33" s="18"/>
      <c r="I33" s="18"/>
      <c r="J33" s="18"/>
      <c r="K33" s="18"/>
      <c r="L33" s="18"/>
      <c r="M33" s="25"/>
      <c r="N33" s="18"/>
      <c r="O33" s="52"/>
    </row>
    <row r="34" spans="1:15" s="1" customFormat="1">
      <c r="A34" s="163"/>
      <c r="B34" s="18"/>
      <c r="C34" s="18"/>
      <c r="D34" s="19"/>
      <c r="E34" s="18"/>
      <c r="F34" s="18"/>
      <c r="G34" s="18"/>
      <c r="H34" s="61"/>
      <c r="I34" s="61"/>
      <c r="J34" s="61"/>
      <c r="K34" s="61"/>
      <c r="L34" s="61"/>
      <c r="M34" s="25"/>
      <c r="N34" s="18"/>
      <c r="O34" s="52"/>
    </row>
    <row r="35" spans="1:15" s="1" customFormat="1">
      <c r="A35" s="163"/>
      <c r="B35" s="18"/>
      <c r="C35" s="18"/>
      <c r="D35" s="19"/>
      <c r="E35" s="18"/>
      <c r="F35" s="18"/>
      <c r="G35" s="60" t="s">
        <v>45</v>
      </c>
      <c r="H35" s="190">
        <f>H27+H32</f>
        <v>701000</v>
      </c>
      <c r="I35" s="190">
        <f>I27+I32</f>
        <v>325542</v>
      </c>
      <c r="J35" s="190">
        <f>J27+J32</f>
        <v>242942</v>
      </c>
      <c r="K35" s="190">
        <f>K27+K32</f>
        <v>1066584.8</v>
      </c>
      <c r="L35" s="190">
        <f>SUM(H35:K35)</f>
        <v>2336068.7999999998</v>
      </c>
      <c r="M35" s="25"/>
      <c r="N35" s="18"/>
      <c r="O35" s="52"/>
    </row>
    <row r="36" spans="1:15" s="1" customFormat="1">
      <c r="A36" s="163"/>
      <c r="B36" s="18"/>
      <c r="C36" s="18"/>
      <c r="D36" s="19"/>
      <c r="E36" s="18"/>
      <c r="F36" s="18" t="s">
        <v>46</v>
      </c>
      <c r="G36" s="18"/>
      <c r="H36" s="62"/>
      <c r="I36" s="62"/>
      <c r="J36" s="62"/>
      <c r="K36" s="62"/>
      <c r="L36" s="62"/>
      <c r="M36" s="25"/>
      <c r="N36" s="18"/>
      <c r="O36" s="52"/>
    </row>
    <row r="37" spans="1:15" s="1" customFormat="1">
      <c r="A37" s="163"/>
      <c r="B37" s="18"/>
      <c r="C37" s="18"/>
      <c r="D37" s="19"/>
      <c r="E37" s="18"/>
      <c r="F37" s="18" t="s">
        <v>47</v>
      </c>
      <c r="G37" s="194">
        <v>0.3</v>
      </c>
      <c r="H37" s="190">
        <f>IF(data2ab="C",+H35*data125,0)</f>
        <v>210300</v>
      </c>
      <c r="I37" s="190">
        <f>IF(data2ab="C",+I35*data125,0)</f>
        <v>97662.599999999991</v>
      </c>
      <c r="J37" s="190">
        <f>IF(data2ab="C",+J35*data125,0)</f>
        <v>72882.599999999991</v>
      </c>
      <c r="K37" s="190">
        <f>IF(data2ab="C",+K35*data125,0)</f>
        <v>319975.44</v>
      </c>
      <c r="L37" s="190">
        <f>SUM(H37:K37)</f>
        <v>700820.6399999999</v>
      </c>
      <c r="M37" s="25"/>
      <c r="N37" s="18"/>
      <c r="O37" s="52"/>
    </row>
    <row r="38" spans="1:15" s="1" customFormat="1">
      <c r="A38" s="163"/>
      <c r="B38" s="18"/>
      <c r="C38" s="18"/>
      <c r="D38" s="19"/>
      <c r="E38" s="18"/>
      <c r="F38" s="18"/>
      <c r="G38" s="18"/>
      <c r="H38" s="61"/>
      <c r="I38" s="61"/>
      <c r="J38" s="61"/>
      <c r="K38" s="61"/>
      <c r="L38" s="61"/>
      <c r="M38" s="25"/>
      <c r="N38" s="18"/>
      <c r="O38" s="52"/>
    </row>
    <row r="39" spans="1:15" s="1" customFormat="1">
      <c r="A39" s="163"/>
      <c r="B39" s="18"/>
      <c r="C39" s="18"/>
      <c r="D39" s="19"/>
      <c r="E39" s="18"/>
      <c r="F39" s="18"/>
      <c r="G39" s="60" t="s">
        <v>48</v>
      </c>
      <c r="H39" s="190">
        <f>H35-H37</f>
        <v>490700</v>
      </c>
      <c r="I39" s="190">
        <f>I35-I37</f>
        <v>227879.40000000002</v>
      </c>
      <c r="J39" s="190">
        <f>J35-J37</f>
        <v>170059.40000000002</v>
      </c>
      <c r="K39" s="190">
        <f>K35-K37</f>
        <v>746609.3600000001</v>
      </c>
      <c r="L39" s="190">
        <f>SUM(H39:K39)</f>
        <v>1635248.1600000001</v>
      </c>
      <c r="M39" s="25"/>
      <c r="N39" s="18"/>
      <c r="O39" s="52"/>
    </row>
    <row r="40" spans="1:15" s="1" customFormat="1">
      <c r="A40" s="163"/>
      <c r="B40" s="18"/>
      <c r="C40" s="18"/>
      <c r="D40" s="19"/>
      <c r="E40" s="18"/>
      <c r="F40" s="18"/>
      <c r="G40" s="18"/>
      <c r="H40" s="61"/>
      <c r="I40" s="61"/>
      <c r="J40" s="61"/>
      <c r="K40" s="61"/>
      <c r="L40" s="61"/>
      <c r="M40" s="25"/>
      <c r="N40" s="18"/>
      <c r="O40" s="52"/>
    </row>
    <row r="41" spans="1:15" s="1" customFormat="1">
      <c r="A41" s="163"/>
      <c r="B41" s="18"/>
      <c r="C41" s="18"/>
      <c r="D41" s="19"/>
      <c r="E41" s="18"/>
      <c r="F41" s="18" t="str">
        <f>IF(data2ab="C","Retained earnings-beginning","Undistributed earnings-beginning ")</f>
        <v>Retained earnings-beginning</v>
      </c>
      <c r="G41" s="18"/>
      <c r="H41" s="190">
        <f>'Balance Sheet'!H62</f>
        <v>1400000</v>
      </c>
      <c r="I41" s="190">
        <f>'Balance Sheet'!I62</f>
        <v>1890700</v>
      </c>
      <c r="J41" s="190">
        <f>'Balance Sheet'!J62</f>
        <v>2118579</v>
      </c>
      <c r="K41" s="190">
        <f>'Balance Sheet'!K62</f>
        <v>2288638</v>
      </c>
      <c r="L41" s="190">
        <f>'Balance Sheet'!H62</f>
        <v>1400000</v>
      </c>
      <c r="M41" s="25"/>
      <c r="N41" s="18"/>
      <c r="O41" s="52"/>
    </row>
    <row r="42" spans="1:15" s="1" customFormat="1">
      <c r="A42" s="163"/>
      <c r="B42" s="18"/>
      <c r="C42" s="18"/>
      <c r="D42" s="19"/>
      <c r="E42" s="18"/>
      <c r="F42" s="18"/>
      <c r="G42" s="18"/>
      <c r="H42" s="61"/>
      <c r="I42" s="61"/>
      <c r="J42" s="61"/>
      <c r="K42" s="61"/>
      <c r="L42" s="61"/>
      <c r="M42" s="25"/>
      <c r="N42" s="18"/>
      <c r="O42" s="52"/>
    </row>
    <row r="43" spans="1:15" s="1" customFormat="1">
      <c r="A43" s="163"/>
      <c r="B43" s="46"/>
      <c r="C43" s="46"/>
      <c r="D43" s="19"/>
      <c r="E43" s="18"/>
      <c r="F43" s="18" t="str">
        <f>IF(data2ab="C","Dividends paid","Distributions to owners ")</f>
        <v>Dividends paid</v>
      </c>
      <c r="G43" s="18"/>
      <c r="H43" s="165">
        <v>0</v>
      </c>
      <c r="I43" s="165">
        <v>0</v>
      </c>
      <c r="J43" s="165">
        <v>0</v>
      </c>
      <c r="K43" s="165">
        <v>50000</v>
      </c>
      <c r="L43" s="190">
        <f>SUM(H43:K43)</f>
        <v>50000</v>
      </c>
      <c r="M43" s="25"/>
      <c r="N43" s="18"/>
      <c r="O43" s="52"/>
    </row>
    <row r="44" spans="1:15" s="1" customFormat="1">
      <c r="A44" s="163"/>
      <c r="B44" s="18"/>
      <c r="C44" s="18"/>
      <c r="D44" s="19"/>
      <c r="E44" s="18"/>
      <c r="F44" s="18"/>
      <c r="G44" s="18"/>
      <c r="H44" s="18"/>
      <c r="I44" s="18"/>
      <c r="J44" s="18"/>
      <c r="K44" s="18"/>
      <c r="L44" s="18"/>
      <c r="M44" s="25"/>
      <c r="N44" s="18"/>
      <c r="O44" s="52"/>
    </row>
    <row r="45" spans="1:15" s="1" customFormat="1">
      <c r="A45" s="163"/>
      <c r="B45" s="18"/>
      <c r="C45" s="18"/>
      <c r="D45" s="19"/>
      <c r="E45" s="18"/>
      <c r="F45" s="18" t="str">
        <f>IF(data2ab="C","Retained earnings-ending","Undistributed earnings-ending ")</f>
        <v>Retained earnings-ending</v>
      </c>
      <c r="G45" s="18"/>
      <c r="H45" s="190">
        <f>ROUND(H39+H41-H43,0)</f>
        <v>1890700</v>
      </c>
      <c r="I45" s="190">
        <f>ROUND(I39+I41-I43,0)</f>
        <v>2118579</v>
      </c>
      <c r="J45" s="190">
        <f>ROUND(J39+J41-J43,0)</f>
        <v>2288638</v>
      </c>
      <c r="K45" s="190">
        <f>ROUND(K39+K41-K43,0)</f>
        <v>2985247</v>
      </c>
      <c r="L45" s="190">
        <f>ROUND(L39+L41-L43,0)</f>
        <v>2985248</v>
      </c>
      <c r="M45" s="25"/>
      <c r="N45" s="18"/>
      <c r="O45" s="52"/>
    </row>
    <row r="46" spans="1:15" s="1" customFormat="1">
      <c r="A46" s="163"/>
      <c r="B46" s="18"/>
      <c r="C46" s="18"/>
      <c r="D46" s="19"/>
      <c r="E46" s="18"/>
      <c r="F46" s="18"/>
      <c r="G46" s="18"/>
      <c r="H46" s="18"/>
      <c r="I46" s="18"/>
      <c r="J46" s="18"/>
      <c r="K46" s="18"/>
      <c r="L46" s="18"/>
      <c r="M46" s="25"/>
      <c r="N46" s="18"/>
      <c r="O46" s="52"/>
    </row>
    <row r="47" spans="1:15" s="1" customFormat="1">
      <c r="A47" s="163"/>
      <c r="B47" s="18"/>
      <c r="C47" s="25"/>
      <c r="D47" s="19"/>
      <c r="E47" s="18"/>
      <c r="F47" s="18"/>
      <c r="G47" s="18"/>
      <c r="H47" s="18"/>
      <c r="I47" s="18"/>
      <c r="J47" s="18"/>
      <c r="K47" s="18"/>
      <c r="L47" s="18"/>
      <c r="M47" s="25"/>
      <c r="N47" s="18"/>
      <c r="O47" s="52"/>
    </row>
    <row r="48" spans="1:15" s="1" customFormat="1">
      <c r="A48" s="163"/>
      <c r="B48" s="187"/>
      <c r="C48" s="25"/>
      <c r="D48" s="19"/>
      <c r="E48" s="31" t="s">
        <v>49</v>
      </c>
      <c r="F48" s="18"/>
      <c r="G48" s="18"/>
      <c r="H48" s="18"/>
      <c r="I48" s="18"/>
      <c r="J48" s="18"/>
      <c r="K48" s="18"/>
      <c r="L48" s="18"/>
      <c r="M48" s="25"/>
      <c r="N48" s="18"/>
      <c r="O48" s="52"/>
    </row>
    <row r="49" spans="1:15" s="1" customFormat="1">
      <c r="A49" s="163"/>
      <c r="B49" s="187"/>
      <c r="C49" s="25"/>
      <c r="D49" s="19"/>
      <c r="E49" s="18"/>
      <c r="F49" s="18"/>
      <c r="G49" s="18"/>
      <c r="H49" s="18"/>
      <c r="I49" s="18"/>
      <c r="J49" s="18"/>
      <c r="K49" s="18"/>
      <c r="L49" s="18"/>
      <c r="M49" s="25"/>
      <c r="N49" s="18"/>
      <c r="O49" s="52"/>
    </row>
    <row r="50" spans="1:15" s="1" customFormat="1">
      <c r="A50" s="163"/>
      <c r="B50" s="187"/>
      <c r="C50" s="25"/>
      <c r="D50" s="19"/>
      <c r="E50" s="31" t="s">
        <v>33</v>
      </c>
      <c r="F50" s="18"/>
      <c r="G50" s="18"/>
      <c r="H50" s="18"/>
      <c r="I50" s="18"/>
      <c r="J50" s="18"/>
      <c r="K50" s="18"/>
      <c r="L50" s="18"/>
      <c r="M50" s="25"/>
      <c r="N50" s="18"/>
      <c r="O50" s="52"/>
    </row>
    <row r="51" spans="1:15" s="1" customFormat="1">
      <c r="A51" s="163"/>
      <c r="B51" s="187"/>
      <c r="C51" s="25"/>
      <c r="D51" s="19"/>
      <c r="E51" s="18"/>
      <c r="F51" s="18"/>
      <c r="G51" s="24" t="s">
        <v>50</v>
      </c>
      <c r="H51" s="190">
        <f>'Data Entry'!I27</f>
        <v>320000</v>
      </c>
      <c r="I51" s="190">
        <f>'Data Entry'!J27</f>
        <v>240000</v>
      </c>
      <c r="J51" s="190">
        <f>'Data Entry'!K27</f>
        <v>208000</v>
      </c>
      <c r="K51" s="190">
        <f>'Data Entry'!L27</f>
        <v>321616</v>
      </c>
      <c r="L51" s="190">
        <f>SUM(H51:K51)</f>
        <v>1089616</v>
      </c>
      <c r="M51" s="25"/>
      <c r="N51" s="18"/>
      <c r="O51" s="52"/>
    </row>
    <row r="52" spans="1:15" s="1" customFormat="1">
      <c r="A52" s="163"/>
      <c r="B52" s="187"/>
      <c r="C52" s="25"/>
      <c r="D52" s="19"/>
      <c r="E52" s="18"/>
      <c r="F52" s="18"/>
      <c r="G52" s="24" t="s">
        <v>51</v>
      </c>
      <c r="H52" s="165">
        <v>500000</v>
      </c>
      <c r="I52" s="165">
        <v>500000</v>
      </c>
      <c r="J52" s="165">
        <v>500000</v>
      </c>
      <c r="K52" s="165">
        <v>500000</v>
      </c>
      <c r="L52" s="190">
        <f>SUM(H52:K52)</f>
        <v>2000000</v>
      </c>
      <c r="M52" s="25"/>
      <c r="N52" s="18"/>
      <c r="O52" s="52"/>
    </row>
    <row r="53" spans="1:15" s="1" customFormat="1">
      <c r="A53" s="163"/>
      <c r="B53" s="187"/>
      <c r="C53" s="25"/>
      <c r="D53" s="19"/>
      <c r="E53" s="18"/>
      <c r="F53" s="18"/>
      <c r="G53" s="24" t="s">
        <v>52</v>
      </c>
      <c r="H53" s="165">
        <v>125000</v>
      </c>
      <c r="I53" s="165">
        <v>125000</v>
      </c>
      <c r="J53" s="165">
        <v>125000</v>
      </c>
      <c r="K53" s="165">
        <v>250000</v>
      </c>
      <c r="L53" s="190">
        <f>SUM(H53:K53)</f>
        <v>625000</v>
      </c>
      <c r="M53" s="25"/>
      <c r="N53" s="18"/>
      <c r="O53" s="52"/>
    </row>
    <row r="54" spans="1:15" s="1" customFormat="1">
      <c r="A54" s="163"/>
      <c r="B54" s="187"/>
      <c r="C54" s="25"/>
      <c r="D54" s="19"/>
      <c r="E54" s="18"/>
      <c r="F54" s="18"/>
      <c r="G54" s="32"/>
      <c r="H54" s="18"/>
      <c r="I54" s="18"/>
      <c r="J54" s="18"/>
      <c r="K54" s="18"/>
      <c r="L54" s="18"/>
      <c r="M54" s="25"/>
      <c r="N54" s="18"/>
      <c r="O54" s="52"/>
    </row>
    <row r="55" spans="1:15" s="1" customFormat="1">
      <c r="A55" s="163"/>
      <c r="B55" s="187"/>
      <c r="C55" s="102"/>
      <c r="D55" s="19"/>
      <c r="E55" s="31" t="s">
        <v>53</v>
      </c>
      <c r="F55" s="18"/>
      <c r="G55" s="32"/>
      <c r="H55" s="18"/>
      <c r="I55" s="18"/>
      <c r="J55" s="18"/>
      <c r="K55" s="18"/>
      <c r="L55" s="18"/>
      <c r="M55" s="25"/>
      <c r="N55" s="18"/>
      <c r="O55" s="52"/>
    </row>
    <row r="56" spans="1:15" s="1" customFormat="1">
      <c r="A56" s="163"/>
      <c r="B56" s="187"/>
      <c r="C56" s="102"/>
      <c r="D56" s="19"/>
      <c r="E56" s="18"/>
      <c r="F56" s="166">
        <v>30</v>
      </c>
      <c r="G56" s="32" t="s">
        <v>54</v>
      </c>
      <c r="H56" s="190">
        <f>IF(ISERR(ROUND(SLN('Balance Sheet'!H25,0,$F$56)/4,0)),0,ROUND(SLN('Balance Sheet'!H25,0,$F$56)/4,0))</f>
        <v>12500</v>
      </c>
      <c r="I56" s="190">
        <f>IF(ISERR(ROUND(SLN('Balance Sheet'!I25,0,$F$56)/4,0)),0,ROUND(SLN('Balance Sheet'!I25,0,$F$56)/4,0))</f>
        <v>12083</v>
      </c>
      <c r="J56" s="190">
        <f>IF(ISERR(ROUND(SLN('Balance Sheet'!J25,0,$F$56)/4,0)),0,ROUND(SLN('Balance Sheet'!J25,0,$F$56)/4,0))</f>
        <v>12083</v>
      </c>
      <c r="K56" s="190">
        <f>IF(ISERR(ROUND(SLN('Balance Sheet'!K25,0,$F$56)/4,0)),0,ROUND(SLN('Balance Sheet'!K25,0,$F$56)/4,0))</f>
        <v>12083</v>
      </c>
      <c r="L56" s="190">
        <f>SUM(H56:K56)</f>
        <v>48749</v>
      </c>
      <c r="M56" s="25"/>
      <c r="N56" s="18"/>
      <c r="O56" s="52"/>
    </row>
    <row r="57" spans="1:15" s="1" customFormat="1">
      <c r="A57" s="163"/>
      <c r="B57" s="187"/>
      <c r="C57" s="102"/>
      <c r="D57" s="19"/>
      <c r="E57" s="18"/>
      <c r="F57" s="166">
        <v>10</v>
      </c>
      <c r="G57" s="32" t="s">
        <v>55</v>
      </c>
      <c r="H57" s="190">
        <f>IF(ISERR(ROUND(SLN('Balance Sheet'!H26,0,$F$57)/4,0)),0,ROUND(SLN('Balance Sheet'!H26,0,$F$57)/4,0))</f>
        <v>20000</v>
      </c>
      <c r="I57" s="190">
        <f>IF(ISERR(ROUND(SLN('Balance Sheet'!I26,0,$F$57)/4,0)),0,ROUND(SLN('Balance Sheet'!I26,0,$F$57)/4,0))</f>
        <v>21875</v>
      </c>
      <c r="J57" s="190">
        <f>IF(ISERR(ROUND(SLN('Balance Sheet'!J26,0,$F$57)/4,0)),0,ROUND(SLN('Balance Sheet'!J26,0,$F$57)/4,0))</f>
        <v>21875</v>
      </c>
      <c r="K57" s="190">
        <f>IF(ISERR(ROUND(SLN('Balance Sheet'!K26,0,$F$57)/4,0)),0,ROUND(SLN('Balance Sheet'!K26,0,$F$57)/4,0))</f>
        <v>21875</v>
      </c>
      <c r="L57" s="190">
        <f>SUM(H57:K57)</f>
        <v>85625</v>
      </c>
      <c r="M57" s="25"/>
      <c r="N57" s="18"/>
      <c r="O57" s="52"/>
    </row>
    <row r="58" spans="1:15" s="1" customFormat="1">
      <c r="A58" s="163"/>
      <c r="B58" s="187"/>
      <c r="C58" s="102"/>
      <c r="D58" s="19"/>
      <c r="E58" s="18"/>
      <c r="F58" s="18"/>
      <c r="G58" s="32"/>
      <c r="H58" s="18"/>
      <c r="I58" s="18"/>
      <c r="J58" s="18"/>
      <c r="K58" s="18"/>
      <c r="L58" s="18"/>
      <c r="M58" s="25"/>
      <c r="N58" s="18"/>
      <c r="O58" s="52"/>
    </row>
    <row r="59" spans="1:15" s="1" customFormat="1">
      <c r="A59" s="163"/>
      <c r="B59" s="187"/>
      <c r="C59" s="102"/>
      <c r="D59" s="19"/>
      <c r="E59" s="31" t="s">
        <v>56</v>
      </c>
      <c r="F59" s="18"/>
      <c r="G59" s="32"/>
      <c r="H59" s="18"/>
      <c r="I59" s="18"/>
      <c r="J59" s="18"/>
      <c r="K59" s="18"/>
      <c r="L59" s="18"/>
      <c r="M59" s="25"/>
      <c r="N59" s="18"/>
      <c r="O59" s="52"/>
    </row>
    <row r="60" spans="1:15" s="1" customFormat="1">
      <c r="A60" s="163"/>
      <c r="B60" s="187"/>
      <c r="C60" s="102"/>
      <c r="D60" s="19"/>
      <c r="E60" s="18"/>
      <c r="F60" s="193">
        <f>data39</f>
        <v>0.1</v>
      </c>
      <c r="G60" s="32" t="s">
        <v>57</v>
      </c>
      <c r="H60" s="190">
        <f>$F$60*'Balance Sheet'!I44/4</f>
        <v>1250</v>
      </c>
      <c r="I60" s="190">
        <f>$F$60*'Balance Sheet'!J44/4</f>
        <v>1250</v>
      </c>
      <c r="J60" s="190">
        <f>$F$60*'Balance Sheet'!K44/4</f>
        <v>1250</v>
      </c>
      <c r="K60" s="190">
        <f>$F$60*'Balance Sheet'!L44/4</f>
        <v>1250</v>
      </c>
      <c r="L60" s="190">
        <f>SUM(H60:K60)</f>
        <v>5000</v>
      </c>
      <c r="M60" s="25"/>
      <c r="N60" s="18"/>
      <c r="O60" s="52"/>
    </row>
    <row r="61" spans="1:15" s="1" customFormat="1">
      <c r="A61" s="163"/>
      <c r="B61" s="187"/>
      <c r="C61" s="102"/>
      <c r="D61" s="19"/>
      <c r="E61" s="18"/>
      <c r="F61" s="193">
        <f>data40</f>
        <v>0.1</v>
      </c>
      <c r="G61" s="32" t="s">
        <v>58</v>
      </c>
      <c r="H61" s="190">
        <f>$F$61*('Balance Sheet'!I52+'Balance Sheet'!I45)/4</f>
        <v>15000</v>
      </c>
      <c r="I61" s="190">
        <f>$F$61*('Balance Sheet'!J52+'Balance Sheet'!J45)/4</f>
        <v>15000</v>
      </c>
      <c r="J61" s="190">
        <f>$F$61*('Balance Sheet'!K52+'Balance Sheet'!K45)/4</f>
        <v>15000</v>
      </c>
      <c r="K61" s="190">
        <f>$F$61*('Balance Sheet'!L52+'Balance Sheet'!L45)/4</f>
        <v>15000</v>
      </c>
      <c r="L61" s="190">
        <f>SUM(H61:K61)</f>
        <v>60000</v>
      </c>
      <c r="M61" s="25"/>
      <c r="N61" s="18"/>
      <c r="O61" s="52"/>
    </row>
    <row r="62" spans="1:15" s="1" customFormat="1" ht="13.5" thickBot="1">
      <c r="A62" s="163"/>
      <c r="B62" s="187"/>
      <c r="C62" s="102"/>
      <c r="D62" s="41"/>
      <c r="E62" s="42"/>
      <c r="F62" s="42"/>
      <c r="G62" s="42"/>
      <c r="H62" s="42"/>
      <c r="I62" s="42"/>
      <c r="J62" s="42"/>
      <c r="K62" s="42"/>
      <c r="L62" s="42"/>
      <c r="M62" s="43"/>
      <c r="N62" s="18"/>
      <c r="O62" s="52"/>
    </row>
    <row r="63" spans="1:15" s="1" customFormat="1" ht="13.5" thickBot="1">
      <c r="A63" s="163"/>
      <c r="B63" s="187"/>
      <c r="C63" s="102"/>
      <c r="D63" s="18"/>
      <c r="E63" s="18"/>
      <c r="F63" s="18"/>
      <c r="G63" s="18"/>
      <c r="H63" s="18"/>
      <c r="I63" s="18"/>
      <c r="J63" s="18"/>
      <c r="K63" s="18"/>
      <c r="L63" s="18"/>
      <c r="M63" s="18"/>
      <c r="N63" s="18"/>
      <c r="O63" s="52"/>
    </row>
    <row r="64" spans="1:15" s="1" customFormat="1" ht="3" customHeight="1" thickTop="1">
      <c r="A64" s="163"/>
      <c r="B64" s="187"/>
      <c r="C64" s="102"/>
      <c r="D64" s="44"/>
      <c r="E64" s="44"/>
      <c r="F64" s="44"/>
      <c r="G64" s="44"/>
      <c r="H64" s="44"/>
      <c r="I64" s="44"/>
      <c r="J64" s="44"/>
      <c r="K64" s="44"/>
      <c r="L64" s="44"/>
      <c r="M64" s="44"/>
      <c r="N64" s="18"/>
      <c r="O64" s="52"/>
    </row>
    <row r="65" spans="1:15" s="1" customFormat="1">
      <c r="A65" s="163"/>
      <c r="B65" s="187"/>
      <c r="C65" s="102"/>
      <c r="D65" s="18"/>
      <c r="E65" s="18"/>
      <c r="F65" s="18"/>
      <c r="G65" s="18"/>
      <c r="H65" s="18"/>
      <c r="I65" s="18"/>
      <c r="J65" s="18"/>
      <c r="K65" s="18"/>
      <c r="L65" s="18"/>
      <c r="M65" s="18"/>
      <c r="N65" s="18"/>
      <c r="O65" s="52"/>
    </row>
    <row r="66" spans="1:15" s="1" customFormat="1">
      <c r="A66" s="163"/>
      <c r="B66" s="18"/>
      <c r="C66" s="18"/>
      <c r="D66" s="89"/>
      <c r="E66" s="89"/>
      <c r="F66" s="89"/>
      <c r="G66" s="89"/>
      <c r="H66" s="89"/>
      <c r="I66" s="89"/>
      <c r="J66" s="89"/>
      <c r="K66" s="89"/>
      <c r="L66" s="89"/>
      <c r="M66" s="89"/>
      <c r="N66" s="89"/>
      <c r="O66" s="26"/>
    </row>
    <row r="67" spans="1:15" s="1" customFormat="1">
      <c r="A67" s="163"/>
      <c r="B67" s="18"/>
      <c r="C67" s="18"/>
      <c r="D67" s="214"/>
      <c r="E67" s="215"/>
      <c r="F67" s="215"/>
      <c r="G67" s="215"/>
      <c r="H67" s="215"/>
      <c r="I67" s="215"/>
      <c r="J67" s="215"/>
      <c r="K67" s="215"/>
      <c r="L67" s="215"/>
      <c r="M67" s="215"/>
      <c r="N67" s="89"/>
      <c r="O67" s="26"/>
    </row>
    <row r="68" spans="1:15" s="1" customFormat="1">
      <c r="A68" s="163"/>
      <c r="B68" s="18"/>
      <c r="C68" s="18"/>
      <c r="D68" s="89"/>
      <c r="E68" s="89"/>
      <c r="F68" s="89"/>
      <c r="G68" s="89"/>
      <c r="H68" s="89"/>
      <c r="I68" s="89"/>
      <c r="J68" s="89"/>
      <c r="K68" s="89"/>
      <c r="L68" s="89"/>
      <c r="M68" s="89"/>
      <c r="N68" s="89"/>
      <c r="O68" s="26"/>
    </row>
    <row r="69" spans="1:15" s="1" customFormat="1" ht="13.5" thickBot="1">
      <c r="A69" s="163"/>
      <c r="B69" s="92"/>
      <c r="C69" s="92"/>
      <c r="D69" s="93"/>
      <c r="E69" s="93"/>
      <c r="F69" s="93"/>
      <c r="G69" s="93"/>
      <c r="H69" s="93"/>
      <c r="I69" s="93"/>
      <c r="J69" s="93"/>
      <c r="K69" s="93"/>
      <c r="L69" s="93"/>
      <c r="M69" s="93"/>
      <c r="N69" s="93"/>
      <c r="O69" s="94"/>
    </row>
    <row r="70" spans="1:15" s="1" customFormat="1" ht="13.5" thickTop="1"/>
  </sheetData>
  <mergeCells count="1">
    <mergeCell ref="D67:M67"/>
  </mergeCells>
  <phoneticPr fontId="3" type="noConversion"/>
  <printOptions horizontalCentered="1"/>
  <pageMargins left="0.75" right="0.75" top="1" bottom="1" header="0.5" footer="0.5"/>
  <pageSetup scale="71" orientation="portrait" horizontalDpi="4294967294"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N80"/>
  <sheetViews>
    <sheetView showGridLines="0" showRowColHeaders="0" zoomScaleNormal="100" workbookViewId="0"/>
  </sheetViews>
  <sheetFormatPr defaultRowHeight="12.75"/>
  <cols>
    <col min="1" max="1" width="1.28515625" style="162" customWidth="1"/>
    <col min="2" max="2" width="0.42578125" style="162" customWidth="1"/>
    <col min="3" max="4" width="3.7109375" style="162" customWidth="1"/>
    <col min="5" max="5" width="1.42578125" style="162" customWidth="1"/>
    <col min="6" max="6" width="9.140625" style="162"/>
    <col min="7" max="7" width="27.28515625" style="162" bestFit="1" customWidth="1"/>
    <col min="8" max="8" width="12.5703125" style="162" bestFit="1" customWidth="1"/>
    <col min="9" max="11" width="12.28515625" style="162" bestFit="1" customWidth="1"/>
    <col min="12" max="12" width="12" style="162" bestFit="1" customWidth="1"/>
    <col min="13" max="14" width="3.7109375" style="162" customWidth="1"/>
    <col min="15" max="15" width="0.42578125" style="162" customWidth="1"/>
    <col min="16" max="16384" width="9.140625" style="162"/>
  </cols>
  <sheetData>
    <row r="1" spans="2:14" s="1" customFormat="1" ht="5.25" customHeight="1"/>
    <row r="2" spans="2:14" s="1" customFormat="1" ht="13.5" thickBot="1"/>
    <row r="3" spans="2:14" s="1" customFormat="1" ht="13.5" thickTop="1">
      <c r="B3" s="2"/>
      <c r="C3" s="3"/>
      <c r="D3" s="3"/>
      <c r="E3" s="3"/>
      <c r="F3" s="3"/>
      <c r="G3" s="3"/>
      <c r="H3" s="3"/>
      <c r="I3" s="3"/>
      <c r="J3" s="3"/>
      <c r="K3" s="3"/>
      <c r="L3" s="3"/>
      <c r="M3" s="3"/>
      <c r="N3" s="4"/>
    </row>
    <row r="4" spans="2:14" s="1" customFormat="1">
      <c r="B4" s="5"/>
      <c r="C4" s="6"/>
      <c r="D4" s="6"/>
      <c r="E4" s="6"/>
      <c r="F4" s="6"/>
      <c r="G4" s="6"/>
      <c r="H4" s="6"/>
      <c r="I4" s="6"/>
      <c r="J4" s="6"/>
      <c r="K4" s="6"/>
      <c r="L4" s="6"/>
      <c r="M4" s="6"/>
      <c r="N4" s="7"/>
    </row>
    <row r="5" spans="2:14" s="1" customFormat="1" ht="30" customHeight="1">
      <c r="B5" s="5"/>
      <c r="C5" s="6"/>
      <c r="D5" s="217" t="s">
        <v>124</v>
      </c>
      <c r="E5" s="217"/>
      <c r="F5" s="217"/>
      <c r="G5" s="217"/>
      <c r="H5" s="217"/>
      <c r="I5" s="217"/>
      <c r="J5" s="217"/>
      <c r="K5" s="217"/>
      <c r="L5" s="217"/>
      <c r="M5" s="6"/>
      <c r="N5" s="7"/>
    </row>
    <row r="6" spans="2:14" s="1" customFormat="1">
      <c r="B6" s="5"/>
      <c r="C6" s="6"/>
      <c r="D6" s="6"/>
      <c r="E6" s="6"/>
      <c r="F6" s="6"/>
      <c r="G6" s="6"/>
      <c r="H6" s="6"/>
      <c r="I6" s="6"/>
      <c r="J6" s="6"/>
      <c r="K6" s="6"/>
      <c r="L6" s="6"/>
      <c r="M6" s="6"/>
      <c r="N6" s="7"/>
    </row>
    <row r="7" spans="2:14" s="1" customFormat="1" ht="13.5" thickBot="1">
      <c r="B7" s="5"/>
      <c r="C7" s="6"/>
      <c r="D7" s="6"/>
      <c r="E7" s="6"/>
      <c r="F7" s="6"/>
      <c r="G7" s="6"/>
      <c r="H7" s="6"/>
      <c r="I7" s="6"/>
      <c r="J7" s="6"/>
      <c r="K7" s="6"/>
      <c r="L7" s="6"/>
      <c r="M7" s="6"/>
      <c r="N7" s="7"/>
    </row>
    <row r="8" spans="2:14" s="1" customFormat="1" ht="3" customHeight="1" thickTop="1">
      <c r="B8" s="5"/>
      <c r="C8" s="6"/>
      <c r="D8" s="12"/>
      <c r="E8" s="12"/>
      <c r="F8" s="12"/>
      <c r="G8" s="12"/>
      <c r="H8" s="12"/>
      <c r="I8" s="12"/>
      <c r="J8" s="12"/>
      <c r="K8" s="12"/>
      <c r="L8" s="12"/>
      <c r="M8" s="6"/>
      <c r="N8" s="7"/>
    </row>
    <row r="9" spans="2:14" s="1" customFormat="1">
      <c r="B9" s="5"/>
      <c r="C9" s="6"/>
      <c r="D9" s="6"/>
      <c r="E9" s="6"/>
      <c r="F9" s="6"/>
      <c r="G9" s="6"/>
      <c r="H9" s="6"/>
      <c r="I9" s="6"/>
      <c r="J9" s="6"/>
      <c r="K9" s="6"/>
      <c r="L9" s="6"/>
      <c r="M9" s="6"/>
      <c r="N9" s="7"/>
    </row>
    <row r="10" spans="2:14" s="1" customFormat="1">
      <c r="B10" s="5"/>
      <c r="C10" s="6"/>
      <c r="D10" s="6"/>
      <c r="E10" s="6"/>
      <c r="F10" s="6"/>
      <c r="G10" s="6"/>
      <c r="H10" s="6"/>
      <c r="I10" s="6"/>
      <c r="J10" s="6"/>
      <c r="K10" s="6"/>
      <c r="L10" s="6"/>
      <c r="M10" s="6"/>
      <c r="N10" s="7"/>
    </row>
    <row r="11" spans="2:14" s="1" customFormat="1" ht="13.5" thickBot="1">
      <c r="B11" s="5"/>
      <c r="C11" s="6"/>
      <c r="D11" s="6"/>
      <c r="E11" s="6"/>
      <c r="F11" s="6"/>
      <c r="G11" s="6"/>
      <c r="H11" s="6"/>
      <c r="I11" s="6"/>
      <c r="J11" s="6"/>
      <c r="K11" s="6"/>
      <c r="L11" s="6"/>
      <c r="M11" s="6"/>
      <c r="N11" s="7"/>
    </row>
    <row r="12" spans="2:14" s="1" customFormat="1">
      <c r="B12" s="5"/>
      <c r="C12" s="6"/>
      <c r="D12" s="13"/>
      <c r="E12" s="14"/>
      <c r="F12" s="14"/>
      <c r="G12" s="14"/>
      <c r="H12" s="14"/>
      <c r="I12" s="14"/>
      <c r="J12" s="14"/>
      <c r="K12" s="14"/>
      <c r="L12" s="14"/>
      <c r="M12" s="6"/>
      <c r="N12" s="7"/>
    </row>
    <row r="13" spans="2:14" s="1" customFormat="1">
      <c r="B13" s="17"/>
      <c r="C13" s="18"/>
      <c r="D13" s="19"/>
      <c r="E13" s="18"/>
      <c r="F13" s="18" t="s">
        <v>59</v>
      </c>
      <c r="G13" s="18"/>
      <c r="H13" s="63" t="s">
        <v>60</v>
      </c>
      <c r="I13" s="64" t="s">
        <v>61</v>
      </c>
      <c r="J13" s="54"/>
      <c r="K13" s="54"/>
      <c r="L13" s="65"/>
      <c r="M13" s="18"/>
      <c r="N13" s="26"/>
    </row>
    <row r="14" spans="2:14" s="1" customFormat="1">
      <c r="B14" s="17"/>
      <c r="C14" s="18"/>
      <c r="D14" s="19"/>
      <c r="E14" s="18"/>
      <c r="F14" s="18"/>
      <c r="G14" s="18"/>
      <c r="H14" s="66">
        <f>IF(data1ab&lt;&gt;"",data1ab-1,"No Entry")</f>
        <v>2005</v>
      </c>
      <c r="I14" s="57" t="str">
        <f>'Data Entry'!I18</f>
        <v>1st Qtr</v>
      </c>
      <c r="J14" s="57" t="str">
        <f>'Data Entry'!J18</f>
        <v>2nd Qtr</v>
      </c>
      <c r="K14" s="57" t="str">
        <f>'Data Entry'!K18</f>
        <v>3rd Qtr</v>
      </c>
      <c r="L14" s="67" t="str">
        <f>'Data Entry'!L18</f>
        <v>4th Qtr</v>
      </c>
      <c r="M14" s="18"/>
      <c r="N14" s="26"/>
    </row>
    <row r="15" spans="2:14" s="1" customFormat="1">
      <c r="B15" s="17"/>
      <c r="C15" s="18"/>
      <c r="D15" s="19"/>
      <c r="E15" s="31" t="s">
        <v>62</v>
      </c>
      <c r="F15" s="18"/>
      <c r="G15" s="18"/>
      <c r="H15" s="68"/>
      <c r="I15" s="36"/>
      <c r="J15" s="36"/>
      <c r="K15" s="36"/>
      <c r="L15" s="69"/>
      <c r="M15" s="18"/>
      <c r="N15" s="26"/>
    </row>
    <row r="16" spans="2:14" s="1" customFormat="1">
      <c r="B16" s="17"/>
      <c r="C16" s="18"/>
      <c r="D16" s="19"/>
      <c r="E16" s="31" t="s">
        <v>63</v>
      </c>
      <c r="F16" s="18"/>
      <c r="G16" s="18"/>
      <c r="H16" s="70"/>
      <c r="I16" s="18"/>
      <c r="J16" s="18"/>
      <c r="K16" s="18"/>
      <c r="L16" s="71"/>
      <c r="M16" s="18"/>
      <c r="N16" s="26"/>
    </row>
    <row r="17" spans="2:14" s="1" customFormat="1">
      <c r="B17" s="17"/>
      <c r="C17" s="18"/>
      <c r="D17" s="19"/>
      <c r="E17" s="18"/>
      <c r="F17" s="18" t="s">
        <v>64</v>
      </c>
      <c r="G17" s="18"/>
      <c r="H17" s="167">
        <v>451000</v>
      </c>
      <c r="I17" s="190">
        <f>ROUND(H17+H18+H19+H20+H24+H25+H26+H32+H36+I43+I44+I45+I46+I47+I48+I52+I53+I54+I55-I18-I19-I20-I24-I25-I26-I32-I36-H43-H44-H45-H46-H47-H48-H52-H53-H54-H55+I62-H62+'Income Statement'!H23+'Income Statement'!H24+I60-H60+I61-H61,0)</f>
        <v>90360</v>
      </c>
      <c r="J17" s="190">
        <f>IF(ISERR(ROUND(I17+I18+I19+I20+I24+I25+I26+I32+I36+J43+J44+J45+J46+J47+J48+J52+J53+J54+J55-J18-J19-J20-J24-J25-J26-J32-J36-I43-I44-I45-I46-I47-I48-I52-I53-I54-I55+J62-I62+'Income Statement'!I23+'Income Statement'!I24+J60-I60+J61-I61,0)),"",ROUND(I17+I18+I19+I20+I24+I25+I26+I32+I36+J43+J44+J45+J46+J47+J48+J52+J53+J54+J55-J18-J19-J20-J24-J25-J26-J32-J36-I43-I44-I45-I46-I47-I48-I52-I53-I54-I55+J62-I62+'Income Statement'!I23+'Income Statement'!I24+J60-I60+J61-I61,0))</f>
        <v>289233</v>
      </c>
      <c r="K17" s="190">
        <f>IF(ISERR(ROUND(J17+J18+J19+J20+J24+J25+J26+J32+J36+K43+K44+K45+K46+K47+K48+K52+K53+K54+K55-K18-K19-K20-K24-K25-K26-K32-K36-J43-J44-J45-J46-J47-J48-J52-J53-J54-J55+K62-J62+'Income Statement'!J23+'Income Statement'!J24+K60-J60+K61-J61,0)),"",ROUND(J17+J18+J19+J20+J24+J25+J26+J32+J36+K43+K44+K45+K46+K47+K48+K52+K53+K54+K55-K18-K19-K20-K24-K25-K26-K32-K36-J43-J44-J45-J46-J47-J48-J52-J53-J54-J55+K62-J62+'Income Statement'!J23+'Income Statement'!J24+K60-J60+K61-J61,0))</f>
        <v>614196</v>
      </c>
      <c r="L17" s="195">
        <f>IF(ISERR(ROUND(K17+K18+K19+K20+K24+K25+K26+K32+K36+L43+L44+L45+L46+L47+L48+L52+L53+L54+L55-L18-L19-L20-L24-L25-L26-L32-L36-K43-K44-K45-K46-K47-K48-K52-K53-K54-K55+L62-K62+'Income Statement'!K23+'Income Statement'!K24+L60-K60+L61-K61,0)),"",ROUND(K17+K18+K19+K20+K24+K25+K26+K32+K36+L43+L44+L45+L46+L47+L48+L52+L53+L54+L55-L18-L19-L20-L24-L25-L26-L32-L36-K43-K44-K45-K46-K47-K48-K52-K53-K54-K55+L62-K62+'Income Statement'!K23+'Income Statement'!K24+L60-K60+L61-K61,0))</f>
        <v>1267364</v>
      </c>
      <c r="M17" s="18"/>
      <c r="N17" s="26"/>
    </row>
    <row r="18" spans="2:14" s="1" customFormat="1">
      <c r="B18" s="17"/>
      <c r="C18" s="18"/>
      <c r="D18" s="19"/>
      <c r="E18" s="18"/>
      <c r="F18" s="18" t="s">
        <v>65</v>
      </c>
      <c r="G18" s="18"/>
      <c r="H18" s="167">
        <v>350000</v>
      </c>
      <c r="I18" s="190">
        <f>ROUND(('Income Statement'!H15/(365*0.25))*'Data Entry'!I19,0)</f>
        <v>657534</v>
      </c>
      <c r="J18" s="190">
        <f>ROUND(('Income Statement'!I15/(365*0.25))*'Data Entry'!J19,0)</f>
        <v>493151</v>
      </c>
      <c r="K18" s="190">
        <f>ROUND(('Income Statement'!J15/(365*0.25))*'Data Entry'!K19,0)</f>
        <v>427397</v>
      </c>
      <c r="L18" s="195">
        <f>ROUND(('Income Statement'!K15/(365*0.25))*'Data Entry'!L19,0)</f>
        <v>660855</v>
      </c>
      <c r="M18" s="72"/>
      <c r="N18" s="26"/>
    </row>
    <row r="19" spans="2:14" s="1" customFormat="1">
      <c r="B19" s="17"/>
      <c r="C19" s="18"/>
      <c r="D19" s="19"/>
      <c r="E19" s="18"/>
      <c r="F19" s="18" t="s">
        <v>66</v>
      </c>
      <c r="G19" s="18"/>
      <c r="H19" s="167">
        <v>400000</v>
      </c>
      <c r="I19" s="190">
        <f>ROUND((('Income Statement'!H52/(365*0.25))*'Data Entry'!I20)+((SUM('Income Statement'!H51:H53)/(365*0.25))*'Data Entry'!I21),0)</f>
        <v>630411</v>
      </c>
      <c r="J19" s="190">
        <f>ROUND((('Income Statement'!I52/(365*0.25))*'Data Entry'!J20)+((SUM('Income Statement'!I51:I53)/(365*0.25))*'Data Entry'!J21),0)</f>
        <v>590959</v>
      </c>
      <c r="K19" s="190">
        <f>ROUND((('Income Statement'!J52/(365*0.25))*'Data Entry'!K20)+((SUM('Income Statement'!J51:J53)/(365*0.25))*'Data Entry'!K21),0)</f>
        <v>575178</v>
      </c>
      <c r="L19" s="195">
        <f>ROUND((('Income Statement'!K52/(365*0.25))*'Data Entry'!L20)+((SUM('Income Statement'!K51:K53)/(365*0.25))*'Data Entry'!L21),0)</f>
        <v>692852</v>
      </c>
      <c r="M19" s="18"/>
      <c r="N19" s="26"/>
    </row>
    <row r="20" spans="2:14" s="1" customFormat="1">
      <c r="B20" s="17"/>
      <c r="C20" s="18"/>
      <c r="D20" s="19"/>
      <c r="E20" s="18"/>
      <c r="F20" s="18" t="s">
        <v>67</v>
      </c>
      <c r="G20" s="18"/>
      <c r="H20" s="167">
        <v>10000</v>
      </c>
      <c r="I20" s="168">
        <v>60000</v>
      </c>
      <c r="J20" s="168">
        <v>45090</v>
      </c>
      <c r="K20" s="168">
        <v>76320</v>
      </c>
      <c r="L20" s="169">
        <v>50000</v>
      </c>
      <c r="M20" s="18"/>
      <c r="N20" s="26"/>
    </row>
    <row r="21" spans="2:14" s="1" customFormat="1">
      <c r="B21" s="17"/>
      <c r="C21" s="18"/>
      <c r="D21" s="19"/>
      <c r="E21" s="18"/>
      <c r="F21" s="18"/>
      <c r="G21" s="60" t="s">
        <v>68</v>
      </c>
      <c r="H21" s="196">
        <f>SUM(H17:H20)</f>
        <v>1211000</v>
      </c>
      <c r="I21" s="190">
        <f>SUM(I17:I20)</f>
        <v>1438305</v>
      </c>
      <c r="J21" s="190">
        <f>SUM(J17:J20)</f>
        <v>1418433</v>
      </c>
      <c r="K21" s="190">
        <f>SUM(K17:K20)</f>
        <v>1693091</v>
      </c>
      <c r="L21" s="195">
        <f>SUM(L17:L20)</f>
        <v>2671071</v>
      </c>
      <c r="M21" s="18"/>
      <c r="N21" s="26"/>
    </row>
    <row r="22" spans="2:14" s="1" customFormat="1">
      <c r="B22" s="17"/>
      <c r="C22" s="18"/>
      <c r="D22" s="19"/>
      <c r="E22" s="18"/>
      <c r="F22" s="18"/>
      <c r="G22" s="18"/>
      <c r="H22" s="70"/>
      <c r="I22" s="18"/>
      <c r="J22" s="18"/>
      <c r="K22" s="18"/>
      <c r="L22" s="71"/>
      <c r="M22" s="18"/>
      <c r="N22" s="26"/>
    </row>
    <row r="23" spans="2:14" s="1" customFormat="1">
      <c r="B23" s="17"/>
      <c r="C23" s="18"/>
      <c r="D23" s="19"/>
      <c r="E23" s="31" t="s">
        <v>69</v>
      </c>
      <c r="F23" s="18"/>
      <c r="G23" s="18"/>
      <c r="H23" s="73"/>
      <c r="I23" s="61"/>
      <c r="J23" s="61"/>
      <c r="K23" s="61"/>
      <c r="L23" s="74"/>
      <c r="M23" s="18"/>
      <c r="N23" s="26"/>
    </row>
    <row r="24" spans="2:14" s="1" customFormat="1">
      <c r="B24" s="17"/>
      <c r="C24" s="18"/>
      <c r="D24" s="19"/>
      <c r="E24" s="18"/>
      <c r="F24" s="18" t="s">
        <v>70</v>
      </c>
      <c r="G24" s="18"/>
      <c r="H24" s="170">
        <v>100000</v>
      </c>
      <c r="I24" s="168">
        <v>112500</v>
      </c>
      <c r="J24" s="168">
        <v>125000</v>
      </c>
      <c r="K24" s="168">
        <v>137500</v>
      </c>
      <c r="L24" s="169">
        <v>150000</v>
      </c>
      <c r="M24" s="18"/>
      <c r="N24" s="26"/>
    </row>
    <row r="25" spans="2:14" s="1" customFormat="1">
      <c r="B25" s="17"/>
      <c r="C25" s="18"/>
      <c r="D25" s="19"/>
      <c r="E25" s="18"/>
      <c r="F25" s="18" t="s">
        <v>71</v>
      </c>
      <c r="G25" s="18"/>
      <c r="H25" s="170">
        <v>1500000</v>
      </c>
      <c r="I25" s="168">
        <v>1450000</v>
      </c>
      <c r="J25" s="168">
        <v>1450000</v>
      </c>
      <c r="K25" s="168">
        <v>1450000</v>
      </c>
      <c r="L25" s="169">
        <v>1450000</v>
      </c>
      <c r="M25" s="18"/>
      <c r="N25" s="26"/>
    </row>
    <row r="26" spans="2:14" s="1" customFormat="1">
      <c r="B26" s="17"/>
      <c r="C26" s="18"/>
      <c r="D26" s="19"/>
      <c r="E26" s="18"/>
      <c r="F26" s="18" t="s">
        <v>72</v>
      </c>
      <c r="G26" s="18"/>
      <c r="H26" s="170">
        <v>800000</v>
      </c>
      <c r="I26" s="168">
        <v>875000</v>
      </c>
      <c r="J26" s="168">
        <v>875000</v>
      </c>
      <c r="K26" s="168">
        <v>875000</v>
      </c>
      <c r="L26" s="169">
        <v>875000</v>
      </c>
      <c r="M26" s="18"/>
      <c r="N26" s="26"/>
    </row>
    <row r="27" spans="2:14" s="1" customFormat="1">
      <c r="B27" s="17"/>
      <c r="C27" s="18"/>
      <c r="D27" s="19"/>
      <c r="E27" s="18"/>
      <c r="F27" s="18"/>
      <c r="G27" s="24" t="s">
        <v>44</v>
      </c>
      <c r="H27" s="197">
        <f>SUM(H24:H26)</f>
        <v>2400000</v>
      </c>
      <c r="I27" s="190">
        <f>SUM(I24:I26)</f>
        <v>2437500</v>
      </c>
      <c r="J27" s="190">
        <f>SUM(J24:J26)</f>
        <v>2450000</v>
      </c>
      <c r="K27" s="190">
        <f>SUM(K24:K26)</f>
        <v>2462500</v>
      </c>
      <c r="L27" s="195">
        <f>SUM(L24:L26)</f>
        <v>2475000</v>
      </c>
      <c r="M27" s="18"/>
      <c r="N27" s="26"/>
    </row>
    <row r="28" spans="2:14" s="1" customFormat="1">
      <c r="B28" s="17"/>
      <c r="C28" s="18"/>
      <c r="D28" s="19"/>
      <c r="E28" s="18"/>
      <c r="F28" s="18" t="s">
        <v>73</v>
      </c>
      <c r="G28" s="18"/>
      <c r="H28" s="197">
        <f>'Data Entry'!H39</f>
        <v>400000</v>
      </c>
      <c r="I28" s="190">
        <f>H28+SUM('Income Statement'!H56:H57)</f>
        <v>432500</v>
      </c>
      <c r="J28" s="190">
        <f>I28+SUM('Income Statement'!I56:I57)</f>
        <v>466458</v>
      </c>
      <c r="K28" s="190">
        <f>J28+SUM('Income Statement'!J56:J57)</f>
        <v>500416</v>
      </c>
      <c r="L28" s="195">
        <f>K28+SUM('Income Statement'!K56:K57)</f>
        <v>534374</v>
      </c>
      <c r="M28" s="18"/>
      <c r="N28" s="26"/>
    </row>
    <row r="29" spans="2:14" s="1" customFormat="1">
      <c r="B29" s="17"/>
      <c r="C29" s="18"/>
      <c r="D29" s="19"/>
      <c r="E29" s="18"/>
      <c r="F29" s="18"/>
      <c r="G29" s="60" t="s">
        <v>74</v>
      </c>
      <c r="H29" s="197">
        <f>H27-H28</f>
        <v>2000000</v>
      </c>
      <c r="I29" s="190">
        <f>I27-I28</f>
        <v>2005000</v>
      </c>
      <c r="J29" s="190">
        <f>J27-J28</f>
        <v>1983542</v>
      </c>
      <c r="K29" s="190">
        <f>K27-K28</f>
        <v>1962084</v>
      </c>
      <c r="L29" s="195">
        <f>L27-L28</f>
        <v>1940626</v>
      </c>
      <c r="M29" s="18"/>
      <c r="N29" s="26"/>
    </row>
    <row r="30" spans="2:14" s="1" customFormat="1">
      <c r="B30" s="17"/>
      <c r="C30" s="18"/>
      <c r="D30" s="19"/>
      <c r="E30" s="18"/>
      <c r="F30" s="18"/>
      <c r="G30" s="18"/>
      <c r="H30" s="70"/>
      <c r="I30" s="18"/>
      <c r="J30" s="18"/>
      <c r="K30" s="18"/>
      <c r="L30" s="71"/>
      <c r="M30" s="18"/>
      <c r="N30" s="26"/>
    </row>
    <row r="31" spans="2:14" s="1" customFormat="1">
      <c r="B31" s="17"/>
      <c r="C31" s="18"/>
      <c r="D31" s="19"/>
      <c r="E31" s="31" t="s">
        <v>75</v>
      </c>
      <c r="F31" s="18"/>
      <c r="G31" s="18"/>
      <c r="H31" s="73"/>
      <c r="I31" s="61"/>
      <c r="J31" s="61"/>
      <c r="K31" s="61"/>
      <c r="L31" s="74"/>
      <c r="M31" s="18"/>
      <c r="N31" s="26"/>
    </row>
    <row r="32" spans="2:14" s="1" customFormat="1">
      <c r="B32" s="17"/>
      <c r="C32" s="18"/>
      <c r="D32" s="19"/>
      <c r="E32" s="18"/>
      <c r="F32" s="18" t="s">
        <v>76</v>
      </c>
      <c r="G32" s="18"/>
      <c r="H32" s="170">
        <v>50000</v>
      </c>
      <c r="I32" s="168">
        <v>50000</v>
      </c>
      <c r="J32" s="168">
        <v>50000</v>
      </c>
      <c r="K32" s="168">
        <v>50000</v>
      </c>
      <c r="L32" s="169">
        <v>50000</v>
      </c>
      <c r="M32" s="18"/>
      <c r="N32" s="26"/>
    </row>
    <row r="33" spans="2:14" s="1" customFormat="1">
      <c r="B33" s="17"/>
      <c r="C33" s="18"/>
      <c r="D33" s="19"/>
      <c r="E33" s="18"/>
      <c r="F33" s="18" t="s">
        <v>77</v>
      </c>
      <c r="G33" s="18"/>
      <c r="H33" s="170">
        <v>20000</v>
      </c>
      <c r="I33" s="168">
        <v>21250</v>
      </c>
      <c r="J33" s="168">
        <v>22500</v>
      </c>
      <c r="K33" s="168">
        <v>23750</v>
      </c>
      <c r="L33" s="169">
        <v>25000</v>
      </c>
      <c r="M33" s="18"/>
      <c r="N33" s="26"/>
    </row>
    <row r="34" spans="2:14" s="1" customFormat="1">
      <c r="B34" s="17"/>
      <c r="C34" s="18"/>
      <c r="D34" s="19"/>
      <c r="E34" s="18"/>
      <c r="F34" s="18"/>
      <c r="G34" s="60" t="s">
        <v>78</v>
      </c>
      <c r="H34" s="197">
        <f>H32-H33</f>
        <v>30000</v>
      </c>
      <c r="I34" s="190">
        <f>I32-I33</f>
        <v>28750</v>
      </c>
      <c r="J34" s="190">
        <f>J32-J33</f>
        <v>27500</v>
      </c>
      <c r="K34" s="190">
        <f>K32-K33</f>
        <v>26250</v>
      </c>
      <c r="L34" s="195">
        <f>L32-L33</f>
        <v>25000</v>
      </c>
      <c r="M34" s="18"/>
      <c r="N34" s="26"/>
    </row>
    <row r="35" spans="2:14" s="1" customFormat="1">
      <c r="B35" s="17"/>
      <c r="C35" s="18"/>
      <c r="D35" s="19"/>
      <c r="E35" s="18"/>
      <c r="F35" s="18"/>
      <c r="G35" s="18"/>
      <c r="H35" s="70"/>
      <c r="I35" s="18"/>
      <c r="J35" s="18"/>
      <c r="K35" s="18"/>
      <c r="L35" s="71"/>
      <c r="M35" s="18"/>
      <c r="N35" s="26"/>
    </row>
    <row r="36" spans="2:14" s="1" customFormat="1">
      <c r="B36" s="17"/>
      <c r="C36" s="18"/>
      <c r="D36" s="19"/>
      <c r="E36" s="31" t="s">
        <v>79</v>
      </c>
      <c r="F36" s="18"/>
      <c r="G36" s="18"/>
      <c r="H36" s="170">
        <v>25000</v>
      </c>
      <c r="I36" s="168">
        <v>33000</v>
      </c>
      <c r="J36" s="168">
        <v>120000</v>
      </c>
      <c r="K36" s="168">
        <v>5000</v>
      </c>
      <c r="L36" s="169">
        <v>23000</v>
      </c>
      <c r="M36" s="18"/>
      <c r="N36" s="26"/>
    </row>
    <row r="37" spans="2:14" s="1" customFormat="1">
      <c r="B37" s="17"/>
      <c r="C37" s="18"/>
      <c r="D37" s="19"/>
      <c r="E37" s="18"/>
      <c r="F37" s="18"/>
      <c r="G37" s="60" t="s">
        <v>80</v>
      </c>
      <c r="H37" s="197">
        <f>H21+H29+H34+H36</f>
        <v>3266000</v>
      </c>
      <c r="I37" s="190">
        <f>ROUND(I21+I29+I34+I36,0)</f>
        <v>3505055</v>
      </c>
      <c r="J37" s="190">
        <f>ROUND(J21+J29+J34+J36,0)</f>
        <v>3549475</v>
      </c>
      <c r="K37" s="190">
        <f>ROUND(K21+K29+K34+K36,0)</f>
        <v>3686425</v>
      </c>
      <c r="L37" s="195">
        <f>ROUND(L21+L29+L34+L36,0)</f>
        <v>4659697</v>
      </c>
      <c r="M37" s="18"/>
      <c r="N37" s="26"/>
    </row>
    <row r="38" spans="2:14" s="1" customFormat="1">
      <c r="B38" s="17"/>
      <c r="C38" s="18"/>
      <c r="D38" s="19"/>
      <c r="E38" s="18"/>
      <c r="F38" s="18"/>
      <c r="G38" s="18"/>
      <c r="H38" s="18"/>
      <c r="I38" s="18"/>
      <c r="J38" s="18"/>
      <c r="K38" s="18"/>
      <c r="L38" s="18"/>
      <c r="M38" s="18"/>
      <c r="N38" s="26"/>
    </row>
    <row r="39" spans="2:14" s="1" customFormat="1">
      <c r="B39" s="17"/>
      <c r="C39" s="18"/>
      <c r="D39" s="19"/>
      <c r="E39" s="18"/>
      <c r="F39" s="18"/>
      <c r="G39" s="18"/>
      <c r="H39" s="75" t="s">
        <v>60</v>
      </c>
      <c r="I39" s="64" t="s">
        <v>61</v>
      </c>
      <c r="J39" s="76"/>
      <c r="K39" s="76"/>
      <c r="L39" s="77"/>
      <c r="M39" s="18"/>
      <c r="N39" s="26"/>
    </row>
    <row r="40" spans="2:14" s="1" customFormat="1">
      <c r="B40" s="17"/>
      <c r="C40" s="18"/>
      <c r="D40" s="19"/>
      <c r="E40" s="20" t="s">
        <v>81</v>
      </c>
      <c r="F40" s="18"/>
      <c r="G40" s="18"/>
      <c r="H40" s="78">
        <f>H14</f>
        <v>2005</v>
      </c>
      <c r="I40" s="78" t="str">
        <f>'Data Entry'!I18</f>
        <v>1st Qtr</v>
      </c>
      <c r="J40" s="78" t="str">
        <f>'Data Entry'!J18</f>
        <v>2nd Qtr</v>
      </c>
      <c r="K40" s="78" t="str">
        <f>'Data Entry'!K18</f>
        <v>3rd Qtr</v>
      </c>
      <c r="L40" s="78" t="str">
        <f>'Data Entry'!L18</f>
        <v>4th Qtr</v>
      </c>
      <c r="M40" s="18"/>
      <c r="N40" s="26"/>
    </row>
    <row r="41" spans="2:14" s="1" customFormat="1">
      <c r="B41" s="17"/>
      <c r="C41" s="18"/>
      <c r="D41" s="19"/>
      <c r="E41" s="31" t="str">
        <f>IF(H68="Y","STOCKHOLDERS' EQUITY","OWNERS' EQUITY")</f>
        <v>STOCKHOLDERS' EQUITY</v>
      </c>
      <c r="F41" s="18"/>
      <c r="G41" s="18"/>
      <c r="H41" s="79"/>
      <c r="I41" s="80"/>
      <c r="J41" s="80"/>
      <c r="K41" s="80"/>
      <c r="L41" s="81"/>
      <c r="M41" s="18"/>
      <c r="N41" s="26"/>
    </row>
    <row r="42" spans="2:14" s="1" customFormat="1">
      <c r="B42" s="17"/>
      <c r="C42" s="18"/>
      <c r="D42" s="19"/>
      <c r="E42" s="31" t="s">
        <v>82</v>
      </c>
      <c r="F42" s="18"/>
      <c r="G42" s="18"/>
      <c r="H42" s="70"/>
      <c r="I42" s="18"/>
      <c r="J42" s="18"/>
      <c r="K42" s="18"/>
      <c r="L42" s="71"/>
      <c r="M42" s="18"/>
      <c r="N42" s="26"/>
    </row>
    <row r="43" spans="2:14" s="1" customFormat="1">
      <c r="B43" s="17"/>
      <c r="C43" s="18"/>
      <c r="D43" s="19"/>
      <c r="E43" s="18"/>
      <c r="F43" s="18" t="s">
        <v>83</v>
      </c>
      <c r="G43" s="18"/>
      <c r="H43" s="168">
        <v>600000</v>
      </c>
      <c r="I43" s="190">
        <f>ROUND(('Income Statement'!H52/(365*0.25))*'Data Entry'!I22,0)</f>
        <v>328767</v>
      </c>
      <c r="J43" s="190">
        <f>ROUND(('Income Statement'!I52/(365*0.25))*'Data Entry'!J22,0)</f>
        <v>328767</v>
      </c>
      <c r="K43" s="190">
        <f>ROUND(('Income Statement'!J52/(365*0.25))*'Data Entry'!K22,0)</f>
        <v>328767</v>
      </c>
      <c r="L43" s="190">
        <f>ROUND(('Income Statement'!K52/(365*0.25))*'Data Entry'!L22,0)</f>
        <v>328767</v>
      </c>
      <c r="M43" s="18"/>
      <c r="N43" s="26"/>
    </row>
    <row r="44" spans="2:14" s="1" customFormat="1">
      <c r="B44" s="17"/>
      <c r="C44" s="18"/>
      <c r="D44" s="19"/>
      <c r="E44" s="18"/>
      <c r="F44" s="18" t="s">
        <v>84</v>
      </c>
      <c r="G44" s="18"/>
      <c r="H44" s="168">
        <v>100000</v>
      </c>
      <c r="I44" s="190">
        <f>'Data Entry'!J36</f>
        <v>50000</v>
      </c>
      <c r="J44" s="190">
        <f>'Data Entry'!J36</f>
        <v>50000</v>
      </c>
      <c r="K44" s="190">
        <f>'Data Entry'!J36</f>
        <v>50000</v>
      </c>
      <c r="L44" s="190">
        <f>'Data Entry'!J36</f>
        <v>50000</v>
      </c>
      <c r="M44" s="18"/>
      <c r="N44" s="26"/>
    </row>
    <row r="45" spans="2:14" s="1" customFormat="1">
      <c r="B45" s="17"/>
      <c r="C45" s="18"/>
      <c r="D45" s="19"/>
      <c r="E45" s="18"/>
      <c r="F45" s="18" t="s">
        <v>85</v>
      </c>
      <c r="G45" s="18"/>
      <c r="H45" s="168">
        <v>100000</v>
      </c>
      <c r="I45" s="190">
        <f>'Data Entry'!J35</f>
        <v>100000</v>
      </c>
      <c r="J45" s="190">
        <f>'Data Entry'!J35</f>
        <v>100000</v>
      </c>
      <c r="K45" s="190">
        <f>'Data Entry'!J35</f>
        <v>100000</v>
      </c>
      <c r="L45" s="190">
        <f>'Data Entry'!J35</f>
        <v>100000</v>
      </c>
      <c r="M45" s="18"/>
      <c r="N45" s="26"/>
    </row>
    <row r="46" spans="2:14" s="1" customFormat="1">
      <c r="B46" s="17"/>
      <c r="C46" s="18"/>
      <c r="D46" s="19"/>
      <c r="E46" s="18"/>
      <c r="F46" s="18" t="s">
        <v>86</v>
      </c>
      <c r="G46" s="18"/>
      <c r="H46" s="168">
        <v>30000</v>
      </c>
      <c r="I46" s="190">
        <f>IF($H68="Y",ROUND(('Income Statement'!H37-I54),0),0)</f>
        <v>183300</v>
      </c>
      <c r="J46" s="190">
        <f>IF($H68="Y",ROUND(('Income Statement'!I37-J54),0),0)</f>
        <v>70663</v>
      </c>
      <c r="K46" s="190">
        <f>IF($H68="Y",ROUND(('Income Statement'!J37-K54),0),0)</f>
        <v>45883</v>
      </c>
      <c r="L46" s="190">
        <f>IF($H68="Y",ROUND(('Income Statement'!K37-L54),0),0)</f>
        <v>292975</v>
      </c>
      <c r="M46" s="18"/>
      <c r="N46" s="26"/>
    </row>
    <row r="47" spans="2:14" s="1" customFormat="1">
      <c r="B47" s="17"/>
      <c r="C47" s="18"/>
      <c r="D47" s="19"/>
      <c r="E47" s="18"/>
      <c r="F47" s="18" t="s">
        <v>87</v>
      </c>
      <c r="G47" s="18"/>
      <c r="H47" s="168">
        <v>90000</v>
      </c>
      <c r="I47" s="190">
        <f>ROUND(((('Data Entry'!I27+'Data Entry'!I28)/(365*0.25))*'Data Entry'!I23)+((SUM('Data Entry'!I29:I32))/(365*0.25))*'Data Entry'!I24,0)</f>
        <v>83288</v>
      </c>
      <c r="J47" s="190">
        <f>ROUND(((('Data Entry'!J27+'Data Entry'!J28)/(365*0.25))*'Data Entry'!J23)+((SUM('Data Entry'!J29:J32))/(365*0.25))*'Data Entry'!J24,0)</f>
        <v>62466</v>
      </c>
      <c r="K47" s="190">
        <f>ROUND(((('Data Entry'!K27+'Data Entry'!K28)/(365*0.25))*'Data Entry'!K23)+((SUM('Data Entry'!K29:K32))/(365*0.25))*'Data Entry'!K24,0)</f>
        <v>54137</v>
      </c>
      <c r="L47" s="190">
        <f>ROUND(((('Data Entry'!L27+'Data Entry'!L28)/(365*0.25))*'Data Entry'!L23)+((SUM('Data Entry'!L29:L32))/(365*0.25))*'Data Entry'!L24,0)</f>
        <v>83708</v>
      </c>
      <c r="M47" s="18"/>
      <c r="N47" s="26"/>
    </row>
    <row r="48" spans="2:14" s="1" customFormat="1">
      <c r="B48" s="17"/>
      <c r="C48" s="18"/>
      <c r="D48" s="19"/>
      <c r="E48" s="18"/>
      <c r="F48" s="18" t="s">
        <v>88</v>
      </c>
      <c r="G48" s="18"/>
      <c r="H48" s="168">
        <v>16000</v>
      </c>
      <c r="I48" s="168">
        <v>12000</v>
      </c>
      <c r="J48" s="168">
        <v>12000</v>
      </c>
      <c r="K48" s="168">
        <v>12000</v>
      </c>
      <c r="L48" s="168">
        <v>12000</v>
      </c>
      <c r="M48" s="18"/>
      <c r="N48" s="26"/>
    </row>
    <row r="49" spans="2:14" s="1" customFormat="1">
      <c r="B49" s="17"/>
      <c r="C49" s="18"/>
      <c r="D49" s="19"/>
      <c r="E49" s="18"/>
      <c r="F49" s="18"/>
      <c r="G49" s="60" t="s">
        <v>89</v>
      </c>
      <c r="H49" s="190">
        <f>SUM(H43:H48)</f>
        <v>936000</v>
      </c>
      <c r="I49" s="190">
        <f>SUM(I43:I48)</f>
        <v>757355</v>
      </c>
      <c r="J49" s="190">
        <f>SUM(J43:J48)</f>
        <v>623896</v>
      </c>
      <c r="K49" s="190">
        <f>SUM(K43:K48)</f>
        <v>590787</v>
      </c>
      <c r="L49" s="190">
        <f>SUM(L43:L48)</f>
        <v>867450</v>
      </c>
      <c r="M49" s="18"/>
      <c r="N49" s="26"/>
    </row>
    <row r="50" spans="2:14" s="1" customFormat="1">
      <c r="B50" s="17"/>
      <c r="C50" s="18"/>
      <c r="D50" s="19"/>
      <c r="E50" s="18"/>
      <c r="F50" s="18"/>
      <c r="G50" s="24"/>
      <c r="H50" s="82"/>
      <c r="I50" s="83"/>
      <c r="J50" s="83"/>
      <c r="K50" s="83"/>
      <c r="L50" s="84"/>
      <c r="M50" s="18"/>
      <c r="N50" s="26"/>
    </row>
    <row r="51" spans="2:14" s="1" customFormat="1">
      <c r="B51" s="17"/>
      <c r="C51" s="18"/>
      <c r="D51" s="19"/>
      <c r="E51" s="31" t="s">
        <v>90</v>
      </c>
      <c r="F51" s="18"/>
      <c r="G51" s="18"/>
      <c r="H51" s="70"/>
      <c r="I51" s="18"/>
      <c r="J51" s="18"/>
      <c r="K51" s="18"/>
      <c r="L51" s="71"/>
      <c r="M51" s="18"/>
      <c r="N51" s="26"/>
    </row>
    <row r="52" spans="2:14" s="1" customFormat="1">
      <c r="B52" s="17"/>
      <c r="C52" s="18"/>
      <c r="D52" s="19"/>
      <c r="E52" s="18"/>
      <c r="F52" s="18" t="s">
        <v>91</v>
      </c>
      <c r="G52" s="18"/>
      <c r="H52" s="168">
        <v>600000</v>
      </c>
      <c r="I52" s="190">
        <f>'Data Entry'!K35</f>
        <v>500000</v>
      </c>
      <c r="J52" s="190">
        <f>'Data Entry'!K35</f>
        <v>500000</v>
      </c>
      <c r="K52" s="190">
        <f>'Data Entry'!K35</f>
        <v>500000</v>
      </c>
      <c r="L52" s="190">
        <f>'Data Entry'!K35</f>
        <v>500000</v>
      </c>
      <c r="M52" s="18"/>
      <c r="N52" s="26"/>
    </row>
    <row r="53" spans="2:14" s="1" customFormat="1">
      <c r="B53" s="17"/>
      <c r="C53" s="18"/>
      <c r="D53" s="19"/>
      <c r="E53" s="18"/>
      <c r="F53" s="18" t="s">
        <v>92</v>
      </c>
      <c r="G53" s="18"/>
      <c r="H53" s="168">
        <v>100000</v>
      </c>
      <c r="I53" s="168">
        <v>90000</v>
      </c>
      <c r="J53" s="168">
        <v>90000</v>
      </c>
      <c r="K53" s="168">
        <v>90000</v>
      </c>
      <c r="L53" s="168">
        <v>90000</v>
      </c>
      <c r="M53" s="18"/>
      <c r="N53" s="26"/>
    </row>
    <row r="54" spans="2:14" s="1" customFormat="1">
      <c r="B54" s="17"/>
      <c r="C54" s="18"/>
      <c r="D54" s="19"/>
      <c r="E54" s="18"/>
      <c r="F54" s="18" t="s">
        <v>93</v>
      </c>
      <c r="G54" s="18"/>
      <c r="H54" s="168">
        <v>30000</v>
      </c>
      <c r="I54" s="168">
        <v>27000</v>
      </c>
      <c r="J54" s="168">
        <v>27000</v>
      </c>
      <c r="K54" s="168">
        <v>27000</v>
      </c>
      <c r="L54" s="168">
        <v>27000</v>
      </c>
      <c r="M54" s="18"/>
      <c r="N54" s="26"/>
    </row>
    <row r="55" spans="2:14" s="1" customFormat="1">
      <c r="B55" s="17"/>
      <c r="C55" s="18"/>
      <c r="D55" s="19"/>
      <c r="E55" s="18"/>
      <c r="F55" s="18" t="s">
        <v>94</v>
      </c>
      <c r="G55" s="18"/>
      <c r="H55" s="168">
        <v>50000</v>
      </c>
      <c r="I55" s="168">
        <v>90000</v>
      </c>
      <c r="J55" s="168">
        <v>40000</v>
      </c>
      <c r="K55" s="168">
        <v>40000</v>
      </c>
      <c r="L55" s="168">
        <v>40000</v>
      </c>
      <c r="M55" s="18"/>
      <c r="N55" s="26"/>
    </row>
    <row r="56" spans="2:14" s="1" customFormat="1">
      <c r="B56" s="17"/>
      <c r="C56" s="18"/>
      <c r="D56" s="19"/>
      <c r="E56" s="18"/>
      <c r="F56" s="18"/>
      <c r="G56" s="18"/>
      <c r="H56" s="171"/>
      <c r="I56" s="36"/>
      <c r="J56" s="36"/>
      <c r="K56" s="36"/>
      <c r="L56" s="69"/>
      <c r="M56" s="18"/>
      <c r="N56" s="26"/>
    </row>
    <row r="57" spans="2:14" s="1" customFormat="1">
      <c r="B57" s="17"/>
      <c r="C57" s="18"/>
      <c r="D57" s="19"/>
      <c r="E57" s="18"/>
      <c r="F57" s="18"/>
      <c r="G57" s="60" t="s">
        <v>95</v>
      </c>
      <c r="H57" s="190">
        <f>SUM(H49:H55)</f>
        <v>1716000</v>
      </c>
      <c r="I57" s="190">
        <f>SUM(I49:I55)</f>
        <v>1464355</v>
      </c>
      <c r="J57" s="190">
        <f>SUM(J49:J55)</f>
        <v>1280896</v>
      </c>
      <c r="K57" s="190">
        <f>SUM(K49:K55)</f>
        <v>1247787</v>
      </c>
      <c r="L57" s="190">
        <f>SUM(L49:L55)</f>
        <v>1524450</v>
      </c>
      <c r="M57" s="18"/>
      <c r="N57" s="26"/>
    </row>
    <row r="58" spans="2:14" s="1" customFormat="1">
      <c r="B58" s="17"/>
      <c r="C58" s="18"/>
      <c r="D58" s="19"/>
      <c r="E58" s="18"/>
      <c r="F58" s="18"/>
      <c r="G58" s="18"/>
      <c r="H58" s="18"/>
      <c r="I58" s="18"/>
      <c r="J58" s="18"/>
      <c r="K58" s="18"/>
      <c r="L58" s="18"/>
      <c r="M58" s="18"/>
      <c r="N58" s="26"/>
    </row>
    <row r="59" spans="2:14" s="1" customFormat="1">
      <c r="B59" s="17"/>
      <c r="C59" s="18"/>
      <c r="D59" s="19"/>
      <c r="E59" s="31" t="str">
        <f>IF(H68="Y","Stockholders' Equity","Owners' Equity")</f>
        <v>Stockholders' Equity</v>
      </c>
      <c r="F59" s="18"/>
      <c r="G59" s="18"/>
      <c r="H59" s="61"/>
      <c r="I59" s="61"/>
      <c r="J59" s="61"/>
      <c r="K59" s="61"/>
      <c r="L59" s="61"/>
      <c r="M59" s="18"/>
      <c r="N59" s="26"/>
    </row>
    <row r="60" spans="2:14" s="1" customFormat="1">
      <c r="B60" s="17"/>
      <c r="C60" s="18"/>
      <c r="D60" s="19"/>
      <c r="E60" s="18"/>
      <c r="F60" s="18" t="s">
        <v>27</v>
      </c>
      <c r="G60" s="18"/>
      <c r="H60" s="168">
        <v>100000</v>
      </c>
      <c r="I60" s="190">
        <f>'Data Entry'!I37</f>
        <v>100000</v>
      </c>
      <c r="J60" s="190">
        <f>'Data Entry'!I37</f>
        <v>100000</v>
      </c>
      <c r="K60" s="190">
        <f>'Data Entry'!I37</f>
        <v>100000</v>
      </c>
      <c r="L60" s="190">
        <f>'Data Entry'!I37</f>
        <v>100000</v>
      </c>
      <c r="M60" s="18"/>
      <c r="N60" s="26"/>
    </row>
    <row r="61" spans="2:14" s="1" customFormat="1">
      <c r="B61" s="17"/>
      <c r="C61" s="18"/>
      <c r="D61" s="19"/>
      <c r="E61" s="18"/>
      <c r="F61" s="18" t="str">
        <f>IF(H68="Y","Additional paid in capital","Additional capital invested")</f>
        <v>Additional paid in capital</v>
      </c>
      <c r="G61" s="18"/>
      <c r="H61" s="168">
        <v>50000</v>
      </c>
      <c r="I61" s="190">
        <f>'Data Entry'!I38</f>
        <v>50000</v>
      </c>
      <c r="J61" s="190">
        <f>'Data Entry'!I38</f>
        <v>50000</v>
      </c>
      <c r="K61" s="190">
        <f>'Data Entry'!I38</f>
        <v>50000</v>
      </c>
      <c r="L61" s="190">
        <f>'Data Entry'!I38</f>
        <v>50000</v>
      </c>
      <c r="M61" s="18"/>
      <c r="N61" s="26"/>
    </row>
    <row r="62" spans="2:14" s="1" customFormat="1">
      <c r="B62" s="17"/>
      <c r="C62" s="18"/>
      <c r="D62" s="19"/>
      <c r="E62" s="18"/>
      <c r="F62" s="18" t="str">
        <f>IF(H68="Y","Retained earnings","Undistributed earnings")</f>
        <v>Retained earnings</v>
      </c>
      <c r="G62" s="18"/>
      <c r="H62" s="168">
        <v>1400000</v>
      </c>
      <c r="I62" s="190">
        <f>'Income Statement'!H45</f>
        <v>1890700</v>
      </c>
      <c r="J62" s="190">
        <f>'Income Statement'!I45</f>
        <v>2118579</v>
      </c>
      <c r="K62" s="190">
        <f>'Income Statement'!J45</f>
        <v>2288638</v>
      </c>
      <c r="L62" s="190">
        <f>'Income Statement'!K45</f>
        <v>2985247</v>
      </c>
      <c r="M62" s="18"/>
      <c r="N62" s="26"/>
    </row>
    <row r="63" spans="2:14" s="1" customFormat="1">
      <c r="B63" s="17"/>
      <c r="C63" s="18"/>
      <c r="D63" s="19"/>
      <c r="E63" s="18"/>
      <c r="F63" s="18" t="s">
        <v>125</v>
      </c>
      <c r="G63" s="18"/>
      <c r="H63" s="168">
        <v>0</v>
      </c>
      <c r="I63" s="168">
        <v>0</v>
      </c>
      <c r="J63" s="168">
        <v>0</v>
      </c>
      <c r="K63" s="168">
        <v>0</v>
      </c>
      <c r="L63" s="168">
        <v>0</v>
      </c>
      <c r="M63" s="18"/>
      <c r="N63" s="26"/>
    </row>
    <row r="64" spans="2:14" s="1" customFormat="1">
      <c r="B64" s="17"/>
      <c r="C64" s="18"/>
      <c r="D64" s="19"/>
      <c r="E64" s="18"/>
      <c r="F64" s="18"/>
      <c r="G64" s="18"/>
      <c r="H64" s="190">
        <f>SUM(H60:H63)</f>
        <v>1550000</v>
      </c>
      <c r="I64" s="190">
        <f>SUM(I60:I63)</f>
        <v>2040700</v>
      </c>
      <c r="J64" s="190">
        <f>SUM(J60:J63)</f>
        <v>2268579</v>
      </c>
      <c r="K64" s="190">
        <f>SUM(K60:K63)</f>
        <v>2438638</v>
      </c>
      <c r="L64" s="190">
        <f>SUM(L60:L63)</f>
        <v>3135247</v>
      </c>
      <c r="M64" s="18"/>
      <c r="N64" s="26"/>
    </row>
    <row r="65" spans="1:14" s="1" customFormat="1">
      <c r="B65" s="17"/>
      <c r="C65" s="18"/>
      <c r="D65" s="19"/>
      <c r="E65" s="18"/>
      <c r="F65" s="18"/>
      <c r="G65" s="18"/>
      <c r="H65" s="70"/>
      <c r="I65" s="18"/>
      <c r="J65" s="18"/>
      <c r="K65" s="18"/>
      <c r="L65" s="71"/>
      <c r="M65" s="18"/>
      <c r="N65" s="26"/>
    </row>
    <row r="66" spans="1:14" s="1" customFormat="1">
      <c r="B66" s="17"/>
      <c r="C66" s="18"/>
      <c r="D66" s="19"/>
      <c r="E66" s="18"/>
      <c r="F66" s="18"/>
      <c r="G66" s="60" t="s">
        <v>96</v>
      </c>
      <c r="H66" s="190">
        <f>ROUND(H57+H64,0)</f>
        <v>3266000</v>
      </c>
      <c r="I66" s="190">
        <f>ROUND(I57+I64,0)</f>
        <v>3505055</v>
      </c>
      <c r="J66" s="190">
        <f>ROUND(J57+J64,0)</f>
        <v>3549475</v>
      </c>
      <c r="K66" s="190">
        <f>ROUND(K57+K64,0)</f>
        <v>3686425</v>
      </c>
      <c r="L66" s="190">
        <f>ROUND(L57+L64,0)</f>
        <v>4659697</v>
      </c>
      <c r="M66" s="18"/>
      <c r="N66" s="26"/>
    </row>
    <row r="67" spans="1:14" s="1" customFormat="1">
      <c r="B67" s="17"/>
      <c r="C67" s="18"/>
      <c r="D67" s="19"/>
      <c r="E67" s="18"/>
      <c r="F67" s="18"/>
      <c r="G67" s="18"/>
      <c r="H67" s="18"/>
      <c r="I67" s="18"/>
      <c r="J67" s="18"/>
      <c r="K67" s="18"/>
      <c r="L67" s="18"/>
      <c r="M67" s="18"/>
      <c r="N67" s="26"/>
    </row>
    <row r="68" spans="1:14" s="1" customFormat="1">
      <c r="B68" s="17"/>
      <c r="C68" s="18"/>
      <c r="D68" s="19"/>
      <c r="E68" s="18"/>
      <c r="F68" s="85" t="s">
        <v>97</v>
      </c>
      <c r="G68" s="86"/>
      <c r="H68" s="198" t="str">
        <f>IF(data2ab="C","Y","N")</f>
        <v>Y</v>
      </c>
      <c r="I68" s="199"/>
      <c r="J68" s="199"/>
      <c r="K68" s="199"/>
      <c r="L68" s="199"/>
      <c r="M68" s="18"/>
      <c r="N68" s="26"/>
    </row>
    <row r="69" spans="1:14" s="1" customFormat="1">
      <c r="B69" s="17"/>
      <c r="C69" s="18"/>
      <c r="D69" s="19"/>
      <c r="E69" s="18"/>
      <c r="F69" s="70" t="s">
        <v>98</v>
      </c>
      <c r="G69" s="71"/>
      <c r="H69" s="198" t="str">
        <f>IF(H17&gt;=0,"Positive ","(Negative) ")</f>
        <v xml:space="preserve">Positive </v>
      </c>
      <c r="I69" s="198" t="str">
        <f>IF(I17&gt;=0,"Positive ","(Negative) ")</f>
        <v xml:space="preserve">Positive </v>
      </c>
      <c r="J69" s="198" t="str">
        <f>IF(J17&gt;=0,"Positive ","(Negative) ")</f>
        <v xml:space="preserve">Positive </v>
      </c>
      <c r="K69" s="198" t="str">
        <f>IF(K17&gt;=0,"Positive ","(Negative) ")</f>
        <v xml:space="preserve">Positive </v>
      </c>
      <c r="L69" s="198" t="str">
        <f>IF(L17&gt;=0,"Positive ","(Negative) ")</f>
        <v xml:space="preserve">Positive </v>
      </c>
      <c r="M69" s="18"/>
      <c r="N69" s="26"/>
    </row>
    <row r="70" spans="1:14" s="1" customFormat="1">
      <c r="B70" s="17"/>
      <c r="C70" s="18"/>
      <c r="D70" s="19"/>
      <c r="E70" s="18"/>
      <c r="F70" s="70" t="s">
        <v>99</v>
      </c>
      <c r="G70" s="71"/>
      <c r="H70" s="190">
        <f>H37-H66</f>
        <v>0</v>
      </c>
      <c r="I70" s="190">
        <f>I37-I66</f>
        <v>0</v>
      </c>
      <c r="J70" s="190">
        <f>J37-J66</f>
        <v>0</v>
      </c>
      <c r="K70" s="190">
        <f>K37-K66</f>
        <v>0</v>
      </c>
      <c r="L70" s="190">
        <f>L37-L66</f>
        <v>0</v>
      </c>
      <c r="M70" s="18"/>
      <c r="N70" s="26"/>
    </row>
    <row r="71" spans="1:14" s="1" customFormat="1">
      <c r="B71" s="17"/>
      <c r="C71" s="18"/>
      <c r="D71" s="19"/>
      <c r="E71" s="18"/>
      <c r="F71" s="87" t="s">
        <v>100</v>
      </c>
      <c r="G71" s="88"/>
      <c r="H71" s="190"/>
      <c r="I71" s="190">
        <f>I17-'Cash Flow Statement'!I60</f>
        <v>0</v>
      </c>
      <c r="J71" s="190">
        <f>J17-'Cash Flow Statement'!J60</f>
        <v>0</v>
      </c>
      <c r="K71" s="190">
        <f>K17-'Cash Flow Statement'!K60</f>
        <v>0</v>
      </c>
      <c r="L71" s="190">
        <f>L17-'Cash Flow Statement'!L60</f>
        <v>0</v>
      </c>
      <c r="M71" s="18"/>
      <c r="N71" s="26"/>
    </row>
    <row r="72" spans="1:14" s="1" customFormat="1" ht="13.5" thickBot="1">
      <c r="B72" s="17"/>
      <c r="C72" s="18"/>
      <c r="D72" s="41"/>
      <c r="E72" s="42"/>
      <c r="F72" s="42"/>
      <c r="G72" s="42"/>
      <c r="H72" s="42"/>
      <c r="I72" s="42"/>
      <c r="J72" s="42"/>
      <c r="K72" s="42"/>
      <c r="L72" s="42"/>
      <c r="M72" s="18"/>
      <c r="N72" s="26"/>
    </row>
    <row r="73" spans="1:14" s="1" customFormat="1" ht="13.5" thickBot="1">
      <c r="B73" s="17"/>
      <c r="C73" s="18"/>
      <c r="D73" s="89"/>
      <c r="E73" s="89"/>
      <c r="F73" s="89"/>
      <c r="G73" s="89"/>
      <c r="H73" s="89"/>
      <c r="I73" s="89"/>
      <c r="J73" s="89"/>
      <c r="K73" s="89"/>
      <c r="L73" s="89"/>
      <c r="M73" s="89"/>
      <c r="N73" s="26"/>
    </row>
    <row r="74" spans="1:14" s="1" customFormat="1" ht="3" customHeight="1" thickTop="1">
      <c r="B74" s="17"/>
      <c r="C74" s="18"/>
      <c r="D74" s="90"/>
      <c r="E74" s="90"/>
      <c r="F74" s="90"/>
      <c r="G74" s="90"/>
      <c r="H74" s="90"/>
      <c r="I74" s="90"/>
      <c r="J74" s="90"/>
      <c r="K74" s="90"/>
      <c r="L74" s="90"/>
      <c r="M74" s="89"/>
      <c r="N74" s="26"/>
    </row>
    <row r="75" spans="1:14" s="1" customFormat="1">
      <c r="B75" s="17"/>
      <c r="C75" s="18"/>
      <c r="D75" s="89"/>
      <c r="E75" s="89"/>
      <c r="F75" s="89"/>
      <c r="G75" s="89"/>
      <c r="H75" s="89"/>
      <c r="I75" s="89"/>
      <c r="J75" s="89"/>
      <c r="K75" s="89"/>
      <c r="L75" s="89"/>
      <c r="M75" s="89"/>
      <c r="N75" s="26"/>
    </row>
    <row r="76" spans="1:14" s="1" customFormat="1">
      <c r="A76" s="163"/>
      <c r="B76" s="18"/>
      <c r="C76" s="18"/>
      <c r="D76" s="89"/>
      <c r="E76" s="89"/>
      <c r="F76" s="89"/>
      <c r="G76" s="89"/>
      <c r="H76" s="89"/>
      <c r="I76" s="89"/>
      <c r="J76" s="89"/>
      <c r="K76" s="89"/>
      <c r="L76" s="89"/>
      <c r="M76" s="89"/>
      <c r="N76" s="26"/>
    </row>
    <row r="77" spans="1:14" s="1" customFormat="1">
      <c r="A77" s="163"/>
      <c r="B77" s="18"/>
      <c r="C77" s="18"/>
      <c r="D77" s="214"/>
      <c r="E77" s="215"/>
      <c r="F77" s="215"/>
      <c r="G77" s="215"/>
      <c r="H77" s="215"/>
      <c r="I77" s="215"/>
      <c r="J77" s="215"/>
      <c r="K77" s="215"/>
      <c r="L77" s="215"/>
      <c r="M77" s="188"/>
      <c r="N77" s="26"/>
    </row>
    <row r="78" spans="1:14" s="1" customFormat="1">
      <c r="A78" s="163"/>
      <c r="B78" s="18"/>
      <c r="C78" s="18"/>
      <c r="D78" s="89"/>
      <c r="E78" s="89"/>
      <c r="F78" s="89"/>
      <c r="G78" s="89"/>
      <c r="H78" s="89"/>
      <c r="I78" s="89"/>
      <c r="J78" s="89"/>
      <c r="K78" s="89"/>
      <c r="L78" s="89"/>
      <c r="M78" s="89"/>
      <c r="N78" s="26"/>
    </row>
    <row r="79" spans="1:14" s="1" customFormat="1" ht="13.5" thickBot="1">
      <c r="A79" s="163"/>
      <c r="B79" s="92"/>
      <c r="C79" s="92"/>
      <c r="D79" s="93"/>
      <c r="E79" s="93"/>
      <c r="F79" s="93"/>
      <c r="G79" s="93"/>
      <c r="H79" s="93"/>
      <c r="I79" s="93"/>
      <c r="J79" s="93"/>
      <c r="K79" s="93"/>
      <c r="L79" s="93"/>
      <c r="M79" s="93"/>
      <c r="N79" s="94"/>
    </row>
    <row r="80" spans="1:14" s="1" customFormat="1" ht="13.5" thickTop="1"/>
  </sheetData>
  <mergeCells count="2">
    <mergeCell ref="D5:L5"/>
    <mergeCell ref="D77:L77"/>
  </mergeCells>
  <phoneticPr fontId="3" type="noConversion"/>
  <printOptions horizontalCentered="1"/>
  <pageMargins left="0.75" right="0.75" top="1" bottom="1" header="0.5" footer="0.5"/>
  <pageSetup scale="71" orientation="portrait" horizontalDpi="4294967294"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1">
    <pageSetUpPr autoPageBreaks="0"/>
  </sheetPr>
  <dimension ref="B1:P69"/>
  <sheetViews>
    <sheetView showGridLines="0" showRowColHeaders="0" defaultGridColor="0" colorId="7" zoomScaleNormal="100" workbookViewId="0">
      <selection activeCell="F15" sqref="F15"/>
    </sheetView>
  </sheetViews>
  <sheetFormatPr defaultColWidth="10.28515625" defaultRowHeight="12.75"/>
  <cols>
    <col min="1" max="1" width="1.28515625" style="95" customWidth="1"/>
    <col min="2" max="2" width="0.42578125" style="95" customWidth="1"/>
    <col min="3" max="4" width="3.7109375" style="95" customWidth="1"/>
    <col min="5" max="5" width="1.42578125" style="95" customWidth="1"/>
    <col min="6" max="7" width="10.28515625" style="95"/>
    <col min="8" max="8" width="33" style="95" bestFit="1" customWidth="1"/>
    <col min="9" max="11" width="11.28515625" style="95" customWidth="1"/>
    <col min="12" max="12" width="11.28515625" style="95" bestFit="1" customWidth="1"/>
    <col min="13" max="13" width="11.5703125" style="95" bestFit="1" customWidth="1"/>
    <col min="14" max="15" width="3.7109375" style="95" customWidth="1"/>
    <col min="16" max="16" width="0.42578125" style="95" customWidth="1"/>
    <col min="17" max="16384" width="10.28515625" style="95"/>
  </cols>
  <sheetData>
    <row r="1" spans="2:16" ht="5.25" customHeight="1"/>
    <row r="2" spans="2:16" ht="13.5" thickBot="1"/>
    <row r="3" spans="2:16" ht="0.95" customHeight="1" thickTop="1">
      <c r="B3" s="96"/>
      <c r="C3" s="97"/>
      <c r="D3" s="97"/>
      <c r="E3" s="97"/>
      <c r="F3" s="97"/>
      <c r="G3" s="97"/>
      <c r="H3" s="97"/>
      <c r="I3" s="97"/>
      <c r="J3" s="97"/>
      <c r="K3" s="97"/>
      <c r="L3" s="97"/>
      <c r="M3" s="97"/>
      <c r="N3" s="97"/>
      <c r="O3" s="97"/>
      <c r="P3" s="98"/>
    </row>
    <row r="4" spans="2:16">
      <c r="B4" s="45"/>
      <c r="C4" s="46"/>
      <c r="D4" s="46"/>
      <c r="E4" s="46"/>
      <c r="F4" s="46"/>
      <c r="G4" s="46"/>
      <c r="H4" s="46"/>
      <c r="I4" s="46"/>
      <c r="J4" s="46"/>
      <c r="K4" s="46"/>
      <c r="L4" s="46"/>
      <c r="M4" s="46"/>
      <c r="N4" s="46"/>
      <c r="O4" s="46"/>
      <c r="P4" s="47"/>
    </row>
    <row r="5" spans="2:16">
      <c r="B5" s="45"/>
      <c r="C5" s="46"/>
      <c r="D5" s="46"/>
      <c r="E5" s="46"/>
      <c r="F5" s="46"/>
      <c r="G5" s="46"/>
      <c r="H5" s="46"/>
      <c r="I5" s="46"/>
      <c r="J5" s="46"/>
      <c r="K5" s="46"/>
      <c r="L5" s="46"/>
      <c r="M5" s="46"/>
      <c r="N5" s="46"/>
      <c r="O5" s="46"/>
      <c r="P5" s="47"/>
    </row>
    <row r="6" spans="2:16" ht="30" customHeight="1">
      <c r="B6" s="45"/>
      <c r="C6" s="46"/>
      <c r="D6" s="218" t="s">
        <v>133</v>
      </c>
      <c r="E6" s="218"/>
      <c r="F6" s="218"/>
      <c r="G6" s="218"/>
      <c r="H6" s="218"/>
      <c r="I6" s="218"/>
      <c r="J6" s="218"/>
      <c r="K6" s="218"/>
      <c r="L6" s="218"/>
      <c r="M6" s="218"/>
      <c r="N6" s="218"/>
      <c r="O6" s="46"/>
      <c r="P6" s="47"/>
    </row>
    <row r="7" spans="2:16">
      <c r="B7" s="45"/>
      <c r="C7" s="46"/>
      <c r="D7" s="46"/>
      <c r="E7" s="46"/>
      <c r="F7" s="46"/>
      <c r="G7" s="46"/>
      <c r="H7" s="46"/>
      <c r="I7" s="46"/>
      <c r="J7" s="46"/>
      <c r="K7" s="46"/>
      <c r="L7" s="46"/>
      <c r="M7" s="46"/>
      <c r="N7" s="46"/>
      <c r="O7" s="46"/>
      <c r="P7" s="47"/>
    </row>
    <row r="8" spans="2:16" ht="13.5" thickBot="1">
      <c r="B8" s="45"/>
      <c r="C8" s="46"/>
      <c r="D8" s="46"/>
      <c r="E8" s="46"/>
      <c r="F8" s="46"/>
      <c r="G8" s="46"/>
      <c r="H8" s="46"/>
      <c r="I8" s="46"/>
      <c r="J8" s="46"/>
      <c r="K8" s="46"/>
      <c r="L8" s="46"/>
      <c r="M8" s="46"/>
      <c r="N8" s="46"/>
      <c r="O8" s="46"/>
      <c r="P8" s="47"/>
    </row>
    <row r="9" spans="2:16" ht="3" customHeight="1" thickTop="1">
      <c r="B9" s="45"/>
      <c r="C9" s="46"/>
      <c r="D9" s="99"/>
      <c r="E9" s="100"/>
      <c r="F9" s="99"/>
      <c r="G9" s="99"/>
      <c r="H9" s="99"/>
      <c r="I9" s="99"/>
      <c r="J9" s="99"/>
      <c r="K9" s="99"/>
      <c r="L9" s="99"/>
      <c r="M9" s="99"/>
      <c r="N9" s="99"/>
      <c r="O9" s="46"/>
      <c r="P9" s="47"/>
    </row>
    <row r="10" spans="2:16">
      <c r="B10" s="45"/>
      <c r="C10" s="46"/>
      <c r="D10" s="46"/>
      <c r="E10" s="101"/>
      <c r="F10" s="46"/>
      <c r="G10" s="46"/>
      <c r="H10" s="46"/>
      <c r="I10" s="46"/>
      <c r="J10" s="46"/>
      <c r="K10" s="46"/>
      <c r="L10" s="46"/>
      <c r="M10" s="46"/>
      <c r="N10" s="46"/>
      <c r="O10" s="46"/>
      <c r="P10" s="47"/>
    </row>
    <row r="11" spans="2:16" ht="13.5" thickBot="1">
      <c r="B11" s="45"/>
      <c r="C11" s="46"/>
      <c r="D11" s="46"/>
      <c r="E11" s="101"/>
      <c r="F11" s="46"/>
      <c r="G11" s="46"/>
      <c r="H11" s="46"/>
      <c r="I11" s="46"/>
      <c r="J11" s="46"/>
      <c r="K11" s="46"/>
      <c r="L11" s="46"/>
      <c r="M11" s="102"/>
      <c r="N11" s="46"/>
      <c r="O11" s="46"/>
      <c r="P11" s="47"/>
    </row>
    <row r="12" spans="2:16">
      <c r="B12" s="45"/>
      <c r="C12" s="46"/>
      <c r="D12" s="103"/>
      <c r="E12" s="104"/>
      <c r="F12" s="104"/>
      <c r="G12" s="104"/>
      <c r="H12" s="104"/>
      <c r="I12" s="104"/>
      <c r="J12" s="104"/>
      <c r="K12" s="104"/>
      <c r="L12" s="104"/>
      <c r="M12" s="104"/>
      <c r="N12" s="105"/>
      <c r="O12" s="46"/>
      <c r="P12" s="47"/>
    </row>
    <row r="13" spans="2:16">
      <c r="B13" s="45"/>
      <c r="C13" s="46"/>
      <c r="D13" s="106"/>
      <c r="E13" s="46" t="str">
        <f>'Balance Sheet'!F13</f>
        <v xml:space="preserve"> </v>
      </c>
      <c r="F13" s="46"/>
      <c r="G13" s="46"/>
      <c r="H13" s="46"/>
      <c r="I13" s="107" t="s">
        <v>30</v>
      </c>
      <c r="J13" s="108"/>
      <c r="K13" s="108"/>
      <c r="L13" s="109"/>
      <c r="M13" s="110" t="s">
        <v>31</v>
      </c>
      <c r="N13" s="111"/>
      <c r="O13" s="46"/>
      <c r="P13" s="47"/>
    </row>
    <row r="14" spans="2:16">
      <c r="B14" s="45"/>
      <c r="C14" s="46"/>
      <c r="D14" s="106"/>
      <c r="E14" s="46"/>
      <c r="F14" s="46"/>
      <c r="G14" s="46"/>
      <c r="H14" s="46"/>
      <c r="I14" s="112" t="str">
        <f>'Balance Sheet'!I14</f>
        <v>1st Qtr</v>
      </c>
      <c r="J14" s="112" t="str">
        <f>'Balance Sheet'!J14</f>
        <v>2nd Qtr</v>
      </c>
      <c r="K14" s="112" t="str">
        <f>'Balance Sheet'!K14</f>
        <v>3rd Qtr</v>
      </c>
      <c r="L14" s="112" t="str">
        <f>'Balance Sheet'!L14</f>
        <v>4th Qtr</v>
      </c>
      <c r="M14" s="112" t="str">
        <f>IF('Data Entry'!$G$17=1,"4 Quarters",IF('Data Entry'!$G$17=2,"4 Years","No Entry"))</f>
        <v>4 Quarters</v>
      </c>
      <c r="N14" s="111"/>
      <c r="O14" s="46"/>
      <c r="P14" s="47"/>
    </row>
    <row r="15" spans="2:16">
      <c r="B15" s="45"/>
      <c r="C15" s="46"/>
      <c r="D15" s="106"/>
      <c r="E15" s="113" t="s">
        <v>101</v>
      </c>
      <c r="F15" s="46"/>
      <c r="G15" s="46"/>
      <c r="H15" s="46"/>
      <c r="I15" s="46"/>
      <c r="J15" s="46"/>
      <c r="K15" s="46"/>
      <c r="L15" s="46"/>
      <c r="M15" s="46"/>
      <c r="N15" s="111"/>
      <c r="O15" s="46"/>
      <c r="P15" s="47"/>
    </row>
    <row r="16" spans="2:16">
      <c r="B16" s="45"/>
      <c r="C16" s="46"/>
      <c r="D16" s="114"/>
      <c r="E16" s="46"/>
      <c r="F16" s="46" t="s">
        <v>102</v>
      </c>
      <c r="G16" s="46"/>
      <c r="H16" s="46"/>
      <c r="I16" s="200">
        <f>IF('Balance Sheet'!H68="y",ROUND('Income Statement'!H39,0),ROUND('Income Statement'!H35,0))</f>
        <v>490700</v>
      </c>
      <c r="J16" s="200">
        <f>IF('Balance Sheet'!H68="y",ROUND('Income Statement'!I39,0),ROUND('Income Statement'!I35,0))</f>
        <v>227879</v>
      </c>
      <c r="K16" s="200">
        <f>IF('Balance Sheet'!H68="y",ROUND('Income Statement'!J39,0),ROUND('Income Statement'!J35,0))</f>
        <v>170059</v>
      </c>
      <c r="L16" s="200">
        <f>IF('Balance Sheet'!H68="y",ROUND('Income Statement'!K39,0),ROUND('Income Statement'!K35,0))</f>
        <v>746609</v>
      </c>
      <c r="M16" s="200">
        <f>SUM(I16:L16)</f>
        <v>1635247</v>
      </c>
      <c r="N16" s="111"/>
      <c r="O16" s="46"/>
      <c r="P16" s="47"/>
    </row>
    <row r="17" spans="2:16">
      <c r="B17" s="45"/>
      <c r="C17" s="46"/>
      <c r="D17" s="114"/>
      <c r="E17" s="46"/>
      <c r="F17" s="46" t="s">
        <v>103</v>
      </c>
      <c r="G17" s="46"/>
      <c r="H17" s="46"/>
      <c r="I17" s="200">
        <f>ROUND('Income Statement'!H23+'Income Statement'!H24,0)</f>
        <v>33750</v>
      </c>
      <c r="J17" s="200">
        <f>ROUND('Income Statement'!I23+'Income Statement'!I24,0)</f>
        <v>35208</v>
      </c>
      <c r="K17" s="200">
        <f>ROUND('Income Statement'!J23+'Income Statement'!J24,0)</f>
        <v>35208</v>
      </c>
      <c r="L17" s="200">
        <f>ROUND('Income Statement'!K23+'Income Statement'!K24,0)</f>
        <v>35208</v>
      </c>
      <c r="M17" s="200">
        <f>SUM(I17:L17)</f>
        <v>139374</v>
      </c>
      <c r="N17" s="111"/>
      <c r="O17" s="46"/>
      <c r="P17" s="47"/>
    </row>
    <row r="18" spans="2:16">
      <c r="B18" s="45"/>
      <c r="C18" s="46"/>
      <c r="D18" s="106"/>
      <c r="E18" s="46"/>
      <c r="F18" s="46"/>
      <c r="G18" s="46"/>
      <c r="H18" s="46"/>
      <c r="I18" s="115"/>
      <c r="J18" s="115"/>
      <c r="K18" s="115"/>
      <c r="L18" s="115"/>
      <c r="M18" s="115"/>
      <c r="N18" s="111"/>
      <c r="O18" s="46"/>
      <c r="P18" s="47"/>
    </row>
    <row r="19" spans="2:16">
      <c r="B19" s="45"/>
      <c r="C19" s="46"/>
      <c r="D19" s="106"/>
      <c r="E19" s="46"/>
      <c r="F19" s="46"/>
      <c r="G19" s="46"/>
      <c r="H19" s="116" t="s">
        <v>104</v>
      </c>
      <c r="I19" s="200">
        <f>ROUND(SUM(I16:I17),0)</f>
        <v>524450</v>
      </c>
      <c r="J19" s="200">
        <f>ROUND(SUM(J16:J17),0)</f>
        <v>263087</v>
      </c>
      <c r="K19" s="200">
        <f>ROUND(SUM(K16:K17),0)</f>
        <v>205267</v>
      </c>
      <c r="L19" s="200">
        <f>ROUND(SUM(L16:L17),0)</f>
        <v>781817</v>
      </c>
      <c r="M19" s="200">
        <f>SUM(I19:L19)</f>
        <v>1774621</v>
      </c>
      <c r="N19" s="111"/>
      <c r="O19" s="46"/>
      <c r="P19" s="47"/>
    </row>
    <row r="20" spans="2:16">
      <c r="B20" s="45"/>
      <c r="C20" s="46"/>
      <c r="D20" s="106"/>
      <c r="E20" s="46"/>
      <c r="F20" s="46"/>
      <c r="G20" s="46"/>
      <c r="H20" s="46"/>
      <c r="I20" s="115"/>
      <c r="J20" s="115"/>
      <c r="K20" s="115"/>
      <c r="L20" s="115"/>
      <c r="M20" s="115"/>
      <c r="N20" s="111"/>
      <c r="O20" s="46"/>
      <c r="P20" s="47"/>
    </row>
    <row r="21" spans="2:16">
      <c r="B21" s="45"/>
      <c r="C21" s="46"/>
      <c r="D21" s="106"/>
      <c r="E21" s="113" t="s">
        <v>105</v>
      </c>
      <c r="F21" s="46"/>
      <c r="G21" s="46"/>
      <c r="H21" s="46"/>
      <c r="I21" s="115"/>
      <c r="J21" s="115"/>
      <c r="K21" s="115"/>
      <c r="L21" s="115"/>
      <c r="M21" s="115"/>
      <c r="N21" s="111"/>
      <c r="O21" s="46"/>
      <c r="P21" s="47"/>
    </row>
    <row r="22" spans="2:16">
      <c r="B22" s="45"/>
      <c r="C22" s="46"/>
      <c r="D22" s="106"/>
      <c r="E22" s="113" t="s">
        <v>106</v>
      </c>
      <c r="F22" s="46"/>
      <c r="G22" s="46"/>
      <c r="H22" s="46"/>
      <c r="I22" s="115"/>
      <c r="J22" s="115"/>
      <c r="K22" s="115"/>
      <c r="L22" s="115"/>
      <c r="M22" s="115"/>
      <c r="N22" s="111"/>
      <c r="O22" s="46"/>
      <c r="P22" s="47"/>
    </row>
    <row r="23" spans="2:16">
      <c r="B23" s="45"/>
      <c r="C23" s="46"/>
      <c r="D23" s="106"/>
      <c r="E23" s="46"/>
      <c r="F23" s="46" t="s">
        <v>107</v>
      </c>
      <c r="G23" s="46"/>
      <c r="H23" s="46"/>
      <c r="I23" s="200">
        <f>ROUND('Balance Sheet'!H18-'Balance Sheet'!I18,0)</f>
        <v>-307534</v>
      </c>
      <c r="J23" s="200">
        <f>ROUND('Balance Sheet'!I18-'Balance Sheet'!J18,0)</f>
        <v>164383</v>
      </c>
      <c r="K23" s="200">
        <f>ROUND('Balance Sheet'!J18-'Balance Sheet'!K18,0)</f>
        <v>65754</v>
      </c>
      <c r="L23" s="200">
        <f>ROUND('Balance Sheet'!K18-'Balance Sheet'!L18,0)</f>
        <v>-233458</v>
      </c>
      <c r="M23" s="200">
        <f t="shared" ref="M23:M32" si="0">SUM(I23:L23)</f>
        <v>-310855</v>
      </c>
      <c r="N23" s="111"/>
      <c r="O23" s="46"/>
      <c r="P23" s="47"/>
    </row>
    <row r="24" spans="2:16">
      <c r="B24" s="45"/>
      <c r="C24" s="46"/>
      <c r="D24" s="106"/>
      <c r="E24" s="46"/>
      <c r="F24" s="46" t="s">
        <v>66</v>
      </c>
      <c r="G24" s="46"/>
      <c r="H24" s="46"/>
      <c r="I24" s="200">
        <f>ROUND('Balance Sheet'!H19-'Balance Sheet'!I19,0)</f>
        <v>-230411</v>
      </c>
      <c r="J24" s="200">
        <f>ROUND('Balance Sheet'!I19-'Balance Sheet'!J19,0)</f>
        <v>39452</v>
      </c>
      <c r="K24" s="200">
        <f>ROUND('Balance Sheet'!J19-'Balance Sheet'!K19,0)</f>
        <v>15781</v>
      </c>
      <c r="L24" s="200">
        <f>ROUND('Balance Sheet'!K19-'Balance Sheet'!L19,0)</f>
        <v>-117674</v>
      </c>
      <c r="M24" s="200">
        <f t="shared" si="0"/>
        <v>-292852</v>
      </c>
      <c r="N24" s="111"/>
      <c r="O24" s="46"/>
      <c r="P24" s="47"/>
    </row>
    <row r="25" spans="2:16">
      <c r="B25" s="45"/>
      <c r="C25" s="46"/>
      <c r="D25" s="106"/>
      <c r="E25" s="46"/>
      <c r="F25" s="46" t="s">
        <v>67</v>
      </c>
      <c r="G25" s="46"/>
      <c r="H25" s="46"/>
      <c r="I25" s="200">
        <f>ROUND('Balance Sheet'!H20-'Balance Sheet'!I20,0)</f>
        <v>-50000</v>
      </c>
      <c r="J25" s="200">
        <f>ROUND('Balance Sheet'!I20-'Balance Sheet'!J20,0)</f>
        <v>14910</v>
      </c>
      <c r="K25" s="200">
        <f>ROUND('Balance Sheet'!J20-'Balance Sheet'!K20,0)</f>
        <v>-31230</v>
      </c>
      <c r="L25" s="200">
        <f>ROUND('Balance Sheet'!K20-'Balance Sheet'!L20,0)</f>
        <v>26320</v>
      </c>
      <c r="M25" s="200">
        <f t="shared" si="0"/>
        <v>-40000</v>
      </c>
      <c r="N25" s="111"/>
      <c r="O25" s="46"/>
      <c r="P25" s="47"/>
    </row>
    <row r="26" spans="2:16">
      <c r="B26" s="45"/>
      <c r="C26" s="46"/>
      <c r="D26" s="106"/>
      <c r="E26" s="46"/>
      <c r="F26" s="46" t="s">
        <v>108</v>
      </c>
      <c r="G26" s="46"/>
      <c r="H26" s="46"/>
      <c r="I26" s="200">
        <f>ROUND('Balance Sheet'!H36-'Balance Sheet'!I36,0)</f>
        <v>-8000</v>
      </c>
      <c r="J26" s="200">
        <f>ROUND('Balance Sheet'!I36-'Balance Sheet'!J36,0)</f>
        <v>-87000</v>
      </c>
      <c r="K26" s="200">
        <f>ROUND('Balance Sheet'!J36-'Balance Sheet'!K36,0)</f>
        <v>115000</v>
      </c>
      <c r="L26" s="200">
        <f>ROUND('Balance Sheet'!K36-'Balance Sheet'!L36,0)</f>
        <v>-18000</v>
      </c>
      <c r="M26" s="200">
        <f t="shared" si="0"/>
        <v>2000</v>
      </c>
      <c r="N26" s="111"/>
      <c r="O26" s="46"/>
      <c r="P26" s="47"/>
    </row>
    <row r="27" spans="2:16">
      <c r="B27" s="45"/>
      <c r="C27" s="46"/>
      <c r="D27" s="106"/>
      <c r="E27" s="46"/>
      <c r="F27" s="46" t="s">
        <v>83</v>
      </c>
      <c r="G27" s="46"/>
      <c r="H27" s="46"/>
      <c r="I27" s="200">
        <f>ROUND('Balance Sheet'!I43-'Balance Sheet'!H43,0)</f>
        <v>-271233</v>
      </c>
      <c r="J27" s="200">
        <f>ROUND('Balance Sheet'!J43-'Balance Sheet'!I43,0)</f>
        <v>0</v>
      </c>
      <c r="K27" s="200">
        <f>ROUND('Balance Sheet'!K43-'Balance Sheet'!J43,0)</f>
        <v>0</v>
      </c>
      <c r="L27" s="200">
        <f>ROUND('Balance Sheet'!L43-'Balance Sheet'!K43,0)</f>
        <v>0</v>
      </c>
      <c r="M27" s="200">
        <f t="shared" si="0"/>
        <v>-271233</v>
      </c>
      <c r="N27" s="111"/>
      <c r="O27" s="46"/>
      <c r="P27" s="47"/>
    </row>
    <row r="28" spans="2:16">
      <c r="B28" s="45"/>
      <c r="C28" s="46"/>
      <c r="D28" s="106"/>
      <c r="E28" s="46"/>
      <c r="F28" s="46" t="s">
        <v>85</v>
      </c>
      <c r="G28" s="46"/>
      <c r="H28" s="46"/>
      <c r="I28" s="200">
        <f>ROUND('Balance Sheet'!I45-'Balance Sheet'!H45,0)</f>
        <v>0</v>
      </c>
      <c r="J28" s="200">
        <f>ROUND('Balance Sheet'!J45-'Balance Sheet'!I45,0)</f>
        <v>0</v>
      </c>
      <c r="K28" s="200">
        <f>ROUND('Balance Sheet'!K45-'Balance Sheet'!J45,0)</f>
        <v>0</v>
      </c>
      <c r="L28" s="200">
        <f>ROUND('Balance Sheet'!L45-'Balance Sheet'!K45,0)</f>
        <v>0</v>
      </c>
      <c r="M28" s="200">
        <f t="shared" si="0"/>
        <v>0</v>
      </c>
      <c r="N28" s="111"/>
      <c r="O28" s="46"/>
      <c r="P28" s="47"/>
    </row>
    <row r="29" spans="2:16">
      <c r="B29" s="45"/>
      <c r="C29" s="46"/>
      <c r="D29" s="106"/>
      <c r="E29" s="46"/>
      <c r="F29" s="46" t="s">
        <v>86</v>
      </c>
      <c r="G29" s="46"/>
      <c r="H29" s="46"/>
      <c r="I29" s="200">
        <f>ROUND('Balance Sheet'!I46-'Balance Sheet'!H46,0)</f>
        <v>153300</v>
      </c>
      <c r="J29" s="200">
        <f>ROUND('Balance Sheet'!J46-'Balance Sheet'!I46,0)</f>
        <v>-112637</v>
      </c>
      <c r="K29" s="200">
        <f>ROUND('Balance Sheet'!K46-'Balance Sheet'!J46,0)</f>
        <v>-24780</v>
      </c>
      <c r="L29" s="200">
        <f>ROUND('Balance Sheet'!L46-'Balance Sheet'!K46,0)</f>
        <v>247092</v>
      </c>
      <c r="M29" s="200">
        <f t="shared" si="0"/>
        <v>262975</v>
      </c>
      <c r="N29" s="111"/>
      <c r="O29" s="46"/>
      <c r="P29" s="47"/>
    </row>
    <row r="30" spans="2:16">
      <c r="B30" s="45"/>
      <c r="C30" s="46"/>
      <c r="D30" s="106"/>
      <c r="E30" s="46"/>
      <c r="F30" s="46" t="s">
        <v>87</v>
      </c>
      <c r="G30" s="46"/>
      <c r="H30" s="46"/>
      <c r="I30" s="200">
        <f>ROUND('Balance Sheet'!I47-'Balance Sheet'!H47,0)</f>
        <v>-6712</v>
      </c>
      <c r="J30" s="200">
        <f>ROUND('Balance Sheet'!J47-'Balance Sheet'!I47,0)</f>
        <v>-20822</v>
      </c>
      <c r="K30" s="200">
        <f>ROUND('Balance Sheet'!K47-'Balance Sheet'!J47,0)</f>
        <v>-8329</v>
      </c>
      <c r="L30" s="200">
        <f>ROUND('Balance Sheet'!L47-'Balance Sheet'!K47,0)</f>
        <v>29571</v>
      </c>
      <c r="M30" s="200">
        <f t="shared" si="0"/>
        <v>-6292</v>
      </c>
      <c r="N30" s="111"/>
      <c r="O30" s="46"/>
      <c r="P30" s="47"/>
    </row>
    <row r="31" spans="2:16">
      <c r="B31" s="45"/>
      <c r="C31" s="46"/>
      <c r="D31" s="106"/>
      <c r="E31" s="46"/>
      <c r="F31" s="46" t="s">
        <v>88</v>
      </c>
      <c r="G31" s="46"/>
      <c r="H31" s="46"/>
      <c r="I31" s="200">
        <f>ROUND('Balance Sheet'!I48-'Balance Sheet'!H48,0)</f>
        <v>-4000</v>
      </c>
      <c r="J31" s="200">
        <f>ROUND('Balance Sheet'!J48-'Balance Sheet'!I48,0)</f>
        <v>0</v>
      </c>
      <c r="K31" s="200">
        <f>ROUND('Balance Sheet'!K48-'Balance Sheet'!J48,0)</f>
        <v>0</v>
      </c>
      <c r="L31" s="200">
        <f>ROUND('Balance Sheet'!L48-'Balance Sheet'!K48,0)</f>
        <v>0</v>
      </c>
      <c r="M31" s="200">
        <f t="shared" si="0"/>
        <v>-4000</v>
      </c>
      <c r="N31" s="111"/>
      <c r="O31" s="46"/>
      <c r="P31" s="47"/>
    </row>
    <row r="32" spans="2:16">
      <c r="B32" s="45"/>
      <c r="C32" s="46"/>
      <c r="D32" s="106"/>
      <c r="E32" s="46"/>
      <c r="F32" s="46" t="str">
        <f>IF('Balance Sheet'!H68="y","Dividends paid","Distributions to shareholders")</f>
        <v>Dividends paid</v>
      </c>
      <c r="G32" s="46"/>
      <c r="H32" s="46"/>
      <c r="I32" s="200">
        <f>ROUND('Income Statement'!H43*-1,0)</f>
        <v>0</v>
      </c>
      <c r="J32" s="200">
        <f>ROUND('Income Statement'!I43*-1,0)</f>
        <v>0</v>
      </c>
      <c r="K32" s="200">
        <f>ROUND('Income Statement'!J43*-1,0)</f>
        <v>0</v>
      </c>
      <c r="L32" s="200">
        <f>ROUND('Income Statement'!K43*-1,0)</f>
        <v>-50000</v>
      </c>
      <c r="M32" s="200">
        <f t="shared" si="0"/>
        <v>-50000</v>
      </c>
      <c r="N32" s="111"/>
      <c r="O32" s="46"/>
      <c r="P32" s="47"/>
    </row>
    <row r="33" spans="2:16">
      <c r="B33" s="45"/>
      <c r="C33" s="46"/>
      <c r="D33" s="106"/>
      <c r="E33" s="46"/>
      <c r="F33" s="46"/>
      <c r="G33" s="46"/>
      <c r="H33" s="46"/>
      <c r="I33" s="115"/>
      <c r="J33" s="115"/>
      <c r="K33" s="115"/>
      <c r="L33" s="115"/>
      <c r="M33" s="115"/>
      <c r="N33" s="111"/>
      <c r="O33" s="46"/>
      <c r="P33" s="47"/>
    </row>
    <row r="34" spans="2:16">
      <c r="B34" s="45"/>
      <c r="C34" s="46"/>
      <c r="D34" s="106"/>
      <c r="E34" s="46"/>
      <c r="F34" s="46"/>
      <c r="G34" s="46"/>
      <c r="H34" s="116" t="s">
        <v>104</v>
      </c>
      <c r="I34" s="200">
        <f>ROUND(SUM(I23:I32),0)</f>
        <v>-724590</v>
      </c>
      <c r="J34" s="200">
        <f>ROUND(SUM(J23:J32),0)</f>
        <v>-1714</v>
      </c>
      <c r="K34" s="200">
        <f>ROUND(SUM(K23:K32),0)</f>
        <v>132196</v>
      </c>
      <c r="L34" s="200">
        <f>ROUND(SUM(L23:L32),0)</f>
        <v>-116149</v>
      </c>
      <c r="M34" s="200">
        <f>SUM(I34:L34)</f>
        <v>-710257</v>
      </c>
      <c r="N34" s="111"/>
      <c r="O34" s="46"/>
      <c r="P34" s="47"/>
    </row>
    <row r="35" spans="2:16">
      <c r="B35" s="45"/>
      <c r="C35" s="46"/>
      <c r="D35" s="106"/>
      <c r="E35" s="46"/>
      <c r="F35" s="46"/>
      <c r="G35" s="46"/>
      <c r="H35" s="46"/>
      <c r="I35" s="115"/>
      <c r="J35" s="115"/>
      <c r="K35" s="115"/>
      <c r="L35" s="115"/>
      <c r="M35" s="115"/>
      <c r="N35" s="111"/>
      <c r="O35" s="46"/>
      <c r="P35" s="47"/>
    </row>
    <row r="36" spans="2:16">
      <c r="B36" s="45"/>
      <c r="C36" s="46"/>
      <c r="D36" s="106"/>
      <c r="E36" s="113" t="s">
        <v>109</v>
      </c>
      <c r="F36" s="46"/>
      <c r="G36" s="46"/>
      <c r="H36" s="46"/>
      <c r="I36" s="115"/>
      <c r="J36" s="115"/>
      <c r="K36" s="115"/>
      <c r="L36" s="115"/>
      <c r="M36" s="115"/>
      <c r="N36" s="111"/>
      <c r="O36" s="46"/>
      <c r="P36" s="47"/>
    </row>
    <row r="37" spans="2:16">
      <c r="B37" s="45"/>
      <c r="C37" s="46"/>
      <c r="D37" s="106"/>
      <c r="E37" s="113" t="s">
        <v>110</v>
      </c>
      <c r="F37" s="46"/>
      <c r="G37" s="46"/>
      <c r="H37" s="46"/>
      <c r="I37" s="115"/>
      <c r="J37" s="115"/>
      <c r="K37" s="115"/>
      <c r="L37" s="115"/>
      <c r="M37" s="115"/>
      <c r="N37" s="111"/>
      <c r="O37" s="46"/>
      <c r="P37" s="47"/>
    </row>
    <row r="38" spans="2:16">
      <c r="B38" s="45"/>
      <c r="C38" s="46"/>
      <c r="D38" s="106"/>
      <c r="E38" s="46"/>
      <c r="F38" s="46" t="s">
        <v>111</v>
      </c>
      <c r="G38" s="46"/>
      <c r="H38" s="46"/>
      <c r="I38" s="200">
        <f>ROUND('Balance Sheet'!I24-'Balance Sheet'!H24,0)</f>
        <v>12500</v>
      </c>
      <c r="J38" s="200">
        <f>ROUND('Balance Sheet'!J24-'Balance Sheet'!I24,0)</f>
        <v>12500</v>
      </c>
      <c r="K38" s="200">
        <f>ROUND('Balance Sheet'!K24-'Balance Sheet'!J24,0)</f>
        <v>12500</v>
      </c>
      <c r="L38" s="200">
        <f>ROUND('Balance Sheet'!L24-'Balance Sheet'!K24,0)</f>
        <v>12500</v>
      </c>
      <c r="M38" s="200">
        <f>SUM(I38:L38)</f>
        <v>50000</v>
      </c>
      <c r="N38" s="111"/>
      <c r="O38" s="46"/>
      <c r="P38" s="47"/>
    </row>
    <row r="39" spans="2:16">
      <c r="B39" s="45"/>
      <c r="C39" s="46"/>
      <c r="D39" s="106"/>
      <c r="E39" s="46"/>
      <c r="F39" s="46" t="s">
        <v>112</v>
      </c>
      <c r="G39" s="46"/>
      <c r="H39" s="46"/>
      <c r="I39" s="200">
        <f>ROUND('Balance Sheet'!I25-'Balance Sheet'!H25,0)</f>
        <v>-50000</v>
      </c>
      <c r="J39" s="200">
        <f>ROUND('Balance Sheet'!J25-'Balance Sheet'!I25,0)</f>
        <v>0</v>
      </c>
      <c r="K39" s="200">
        <f>ROUND('Balance Sheet'!K25-'Balance Sheet'!J25,0)</f>
        <v>0</v>
      </c>
      <c r="L39" s="200">
        <f>ROUND('Balance Sheet'!L25-'Balance Sheet'!K25,0)</f>
        <v>0</v>
      </c>
      <c r="M39" s="200">
        <f>SUM(I39:L39)</f>
        <v>-50000</v>
      </c>
      <c r="N39" s="111"/>
      <c r="O39" s="46"/>
      <c r="P39" s="47"/>
    </row>
    <row r="40" spans="2:16">
      <c r="B40" s="45"/>
      <c r="C40" s="46"/>
      <c r="D40" s="106"/>
      <c r="E40" s="46"/>
      <c r="F40" s="46" t="s">
        <v>72</v>
      </c>
      <c r="G40" s="46"/>
      <c r="H40" s="46"/>
      <c r="I40" s="200">
        <f>ROUND('Balance Sheet'!I26-'Balance Sheet'!H26,0)</f>
        <v>75000</v>
      </c>
      <c r="J40" s="200">
        <f>ROUND('Balance Sheet'!J26-'Balance Sheet'!I26,0)</f>
        <v>0</v>
      </c>
      <c r="K40" s="200">
        <f>ROUND('Balance Sheet'!K26-'Balance Sheet'!J26,0)</f>
        <v>0</v>
      </c>
      <c r="L40" s="200">
        <f>ROUND('Balance Sheet'!L26-'Balance Sheet'!K26,0)</f>
        <v>0</v>
      </c>
      <c r="M40" s="200">
        <f>SUM(I40:L40)</f>
        <v>75000</v>
      </c>
      <c r="N40" s="111"/>
      <c r="O40" s="46"/>
      <c r="P40" s="47"/>
    </row>
    <row r="41" spans="2:16">
      <c r="B41" s="45"/>
      <c r="C41" s="46"/>
      <c r="D41" s="106"/>
      <c r="E41" s="46"/>
      <c r="F41" s="46" t="s">
        <v>113</v>
      </c>
      <c r="G41" s="46"/>
      <c r="H41" s="46"/>
      <c r="I41" s="200">
        <f>ROUND('Balance Sheet'!I32-'Balance Sheet'!H32,0)</f>
        <v>0</v>
      </c>
      <c r="J41" s="200">
        <f>ROUND('Balance Sheet'!J32-'Balance Sheet'!I32,0)</f>
        <v>0</v>
      </c>
      <c r="K41" s="200">
        <f>ROUND('Balance Sheet'!K32-'Balance Sheet'!J32,0)</f>
        <v>0</v>
      </c>
      <c r="L41" s="200">
        <f>ROUND('Balance Sheet'!L32-'Balance Sheet'!K32,0)</f>
        <v>0</v>
      </c>
      <c r="M41" s="200">
        <f>SUM(I41:L41)</f>
        <v>0</v>
      </c>
      <c r="N41" s="111"/>
      <c r="O41" s="46"/>
      <c r="P41" s="47"/>
    </row>
    <row r="42" spans="2:16">
      <c r="B42" s="45"/>
      <c r="C42" s="46"/>
      <c r="D42" s="106"/>
      <c r="E42" s="46"/>
      <c r="F42" s="46"/>
      <c r="G42" s="46"/>
      <c r="H42" s="46"/>
      <c r="I42" s="115"/>
      <c r="J42" s="115"/>
      <c r="K42" s="115"/>
      <c r="L42" s="115"/>
      <c r="M42" s="115"/>
      <c r="N42" s="111"/>
      <c r="O42" s="46"/>
      <c r="P42" s="47"/>
    </row>
    <row r="43" spans="2:16">
      <c r="B43" s="45"/>
      <c r="C43" s="46"/>
      <c r="D43" s="106"/>
      <c r="E43" s="46"/>
      <c r="F43" s="46"/>
      <c r="G43" s="46"/>
      <c r="H43" s="116" t="s">
        <v>114</v>
      </c>
      <c r="I43" s="200">
        <f>ROUND(SUM(I38:I41),0)</f>
        <v>37500</v>
      </c>
      <c r="J43" s="200">
        <f>ROUND(SUM(J38:J41),0)</f>
        <v>12500</v>
      </c>
      <c r="K43" s="200">
        <f>ROUND(SUM(K38:K41),0)</f>
        <v>12500</v>
      </c>
      <c r="L43" s="200">
        <f>ROUND(SUM(L38:L41),0)</f>
        <v>12500</v>
      </c>
      <c r="M43" s="200">
        <f>SUM(I43:L43)</f>
        <v>75000</v>
      </c>
      <c r="N43" s="111"/>
      <c r="O43" s="46"/>
      <c r="P43" s="47"/>
    </row>
    <row r="44" spans="2:16">
      <c r="B44" s="45"/>
      <c r="C44" s="46"/>
      <c r="D44" s="106"/>
      <c r="E44" s="46"/>
      <c r="F44" s="46"/>
      <c r="G44" s="46"/>
      <c r="H44" s="46"/>
      <c r="I44" s="115"/>
      <c r="J44" s="115"/>
      <c r="K44" s="115"/>
      <c r="L44" s="115"/>
      <c r="M44" s="115"/>
      <c r="N44" s="111"/>
      <c r="O44" s="46"/>
      <c r="P44" s="47"/>
    </row>
    <row r="45" spans="2:16">
      <c r="B45" s="45"/>
      <c r="C45" s="46"/>
      <c r="D45" s="106"/>
      <c r="E45" s="113" t="s">
        <v>115</v>
      </c>
      <c r="F45" s="46"/>
      <c r="G45" s="46"/>
      <c r="H45" s="46"/>
      <c r="I45" s="115"/>
      <c r="J45" s="115"/>
      <c r="K45" s="115"/>
      <c r="L45" s="115"/>
      <c r="M45" s="115"/>
      <c r="N45" s="111"/>
      <c r="O45" s="46"/>
      <c r="P45" s="47"/>
    </row>
    <row r="46" spans="2:16">
      <c r="B46" s="45"/>
      <c r="C46" s="46"/>
      <c r="D46" s="106"/>
      <c r="E46" s="113" t="s">
        <v>110</v>
      </c>
      <c r="F46" s="46"/>
      <c r="G46" s="46"/>
      <c r="H46" s="46"/>
      <c r="I46" s="115"/>
      <c r="J46" s="115"/>
      <c r="K46" s="115"/>
      <c r="L46" s="115"/>
      <c r="M46" s="115"/>
      <c r="N46" s="111"/>
      <c r="O46" s="46"/>
      <c r="P46" s="47"/>
    </row>
    <row r="47" spans="2:16">
      <c r="B47" s="45"/>
      <c r="C47" s="46"/>
      <c r="D47" s="106"/>
      <c r="E47" s="46"/>
      <c r="F47" s="46" t="s">
        <v>116</v>
      </c>
      <c r="G47" s="46"/>
      <c r="H47" s="46"/>
      <c r="I47" s="200">
        <f>ROUND('Balance Sheet'!I44-'Balance Sheet'!H44,0)</f>
        <v>-50000</v>
      </c>
      <c r="J47" s="200">
        <f>ROUND('Balance Sheet'!J44-'Balance Sheet'!I44,0)</f>
        <v>0</v>
      </c>
      <c r="K47" s="200">
        <f>ROUND('Balance Sheet'!K44-'Balance Sheet'!J44,0)</f>
        <v>0</v>
      </c>
      <c r="L47" s="200">
        <f>ROUND('Balance Sheet'!L44-'Balance Sheet'!K44,0)</f>
        <v>0</v>
      </c>
      <c r="M47" s="200">
        <f t="shared" ref="M47:M52" si="1">SUM(I47:L47)</f>
        <v>-50000</v>
      </c>
      <c r="N47" s="111"/>
      <c r="O47" s="46"/>
      <c r="P47" s="47"/>
    </row>
    <row r="48" spans="2:16">
      <c r="B48" s="45"/>
      <c r="C48" s="46"/>
      <c r="D48" s="106"/>
      <c r="E48" s="46"/>
      <c r="F48" s="46" t="s">
        <v>25</v>
      </c>
      <c r="G48" s="46"/>
      <c r="H48" s="46"/>
      <c r="I48" s="200">
        <f>ROUND('Balance Sheet'!I52-'Balance Sheet'!H52,0)</f>
        <v>-100000</v>
      </c>
      <c r="J48" s="200">
        <f>ROUND('Balance Sheet'!J52-'Balance Sheet'!I52,0)</f>
        <v>0</v>
      </c>
      <c r="K48" s="200">
        <f>ROUND('Balance Sheet'!K52-'Balance Sheet'!J52,0)</f>
        <v>0</v>
      </c>
      <c r="L48" s="200">
        <f>ROUND('Balance Sheet'!L52-'Balance Sheet'!K52,0)</f>
        <v>0</v>
      </c>
      <c r="M48" s="200">
        <f t="shared" si="1"/>
        <v>-100000</v>
      </c>
      <c r="N48" s="111"/>
      <c r="O48" s="46"/>
      <c r="P48" s="47"/>
    </row>
    <row r="49" spans="2:16">
      <c r="B49" s="45"/>
      <c r="C49" s="46"/>
      <c r="D49" s="106"/>
      <c r="E49" s="46"/>
      <c r="F49" s="46" t="s">
        <v>92</v>
      </c>
      <c r="G49" s="46"/>
      <c r="H49" s="46"/>
      <c r="I49" s="200">
        <f>ROUND('Balance Sheet'!I53-'Balance Sheet'!H53,0)</f>
        <v>-10000</v>
      </c>
      <c r="J49" s="200">
        <f>ROUND('Balance Sheet'!J53-'Balance Sheet'!I53,0)</f>
        <v>0</v>
      </c>
      <c r="K49" s="200">
        <f>ROUND('Balance Sheet'!K53-'Balance Sheet'!J53,0)</f>
        <v>0</v>
      </c>
      <c r="L49" s="200">
        <f>ROUND('Balance Sheet'!L53-'Balance Sheet'!K53,0)</f>
        <v>0</v>
      </c>
      <c r="M49" s="200">
        <f t="shared" si="1"/>
        <v>-10000</v>
      </c>
      <c r="N49" s="111"/>
      <c r="O49" s="46"/>
      <c r="P49" s="47"/>
    </row>
    <row r="50" spans="2:16">
      <c r="B50" s="45"/>
      <c r="C50" s="46"/>
      <c r="D50" s="106"/>
      <c r="E50" s="46"/>
      <c r="F50" s="46" t="s">
        <v>93</v>
      </c>
      <c r="G50" s="46"/>
      <c r="H50" s="46"/>
      <c r="I50" s="200">
        <f>ROUND('Balance Sheet'!I54-'Balance Sheet'!H54,0)</f>
        <v>-3000</v>
      </c>
      <c r="J50" s="200">
        <f>ROUND('Balance Sheet'!J54-'Balance Sheet'!I54,0)</f>
        <v>0</v>
      </c>
      <c r="K50" s="200">
        <f>ROUND('Balance Sheet'!K54-'Balance Sheet'!J54,0)</f>
        <v>0</v>
      </c>
      <c r="L50" s="200">
        <f>ROUND('Balance Sheet'!L54-'Balance Sheet'!K54,0)</f>
        <v>0</v>
      </c>
      <c r="M50" s="200">
        <f t="shared" si="1"/>
        <v>-3000</v>
      </c>
      <c r="N50" s="111"/>
      <c r="O50" s="46"/>
      <c r="P50" s="47"/>
    </row>
    <row r="51" spans="2:16">
      <c r="B51" s="45"/>
      <c r="C51" s="46"/>
      <c r="D51" s="106"/>
      <c r="E51" s="46"/>
      <c r="F51" s="46" t="s">
        <v>94</v>
      </c>
      <c r="G51" s="46"/>
      <c r="H51" s="46"/>
      <c r="I51" s="200">
        <f>ROUND('Balance Sheet'!I55-'Balance Sheet'!H55,0)</f>
        <v>40000</v>
      </c>
      <c r="J51" s="200">
        <f>ROUND('Balance Sheet'!J55-'Balance Sheet'!I55,0)</f>
        <v>-50000</v>
      </c>
      <c r="K51" s="200">
        <f>ROUND('Balance Sheet'!K55-'Balance Sheet'!J55,0)</f>
        <v>0</v>
      </c>
      <c r="L51" s="200">
        <f>ROUND('Balance Sheet'!L55-'Balance Sheet'!K55,0)</f>
        <v>0</v>
      </c>
      <c r="M51" s="200">
        <f t="shared" si="1"/>
        <v>-10000</v>
      </c>
      <c r="N51" s="111"/>
      <c r="O51" s="46"/>
      <c r="P51" s="47"/>
    </row>
    <row r="52" spans="2:16">
      <c r="B52" s="45"/>
      <c r="C52" s="46"/>
      <c r="D52" s="106"/>
      <c r="E52" s="46"/>
      <c r="F52" s="46" t="str">
        <f>IF('Balance Sheet'!H68="y","Capital stock and paid in capital","Capital invested")</f>
        <v>Capital stock and paid in capital</v>
      </c>
      <c r="G52" s="46"/>
      <c r="H52" s="46"/>
      <c r="I52" s="200">
        <f>ROUND(('Balance Sheet'!I60+'Balance Sheet'!I61)-('Balance Sheet'!H60+'Balance Sheet'!H61),0)</f>
        <v>0</v>
      </c>
      <c r="J52" s="200">
        <f>ROUND(('Balance Sheet'!J60+'Balance Sheet'!J61)-('Balance Sheet'!I60+'Balance Sheet'!I61),0)</f>
        <v>0</v>
      </c>
      <c r="K52" s="200">
        <f>ROUND(('Balance Sheet'!K60+'Balance Sheet'!K61)-('Balance Sheet'!J60+'Balance Sheet'!J61),0)</f>
        <v>0</v>
      </c>
      <c r="L52" s="200">
        <f>ROUND(('Balance Sheet'!L60+'Balance Sheet'!L61)-('Balance Sheet'!K60+'Balance Sheet'!K61),0)</f>
        <v>0</v>
      </c>
      <c r="M52" s="200">
        <f t="shared" si="1"/>
        <v>0</v>
      </c>
      <c r="N52" s="111"/>
      <c r="O52" s="46"/>
      <c r="P52" s="47"/>
    </row>
    <row r="53" spans="2:16">
      <c r="B53" s="45"/>
      <c r="C53" s="46"/>
      <c r="D53" s="106"/>
      <c r="E53" s="46"/>
      <c r="F53" s="46"/>
      <c r="G53" s="46"/>
      <c r="H53" s="46"/>
      <c r="I53" s="115"/>
      <c r="J53" s="115"/>
      <c r="K53" s="115"/>
      <c r="L53" s="115"/>
      <c r="M53" s="115"/>
      <c r="N53" s="111"/>
      <c r="O53" s="46"/>
      <c r="P53" s="47"/>
    </row>
    <row r="54" spans="2:16">
      <c r="B54" s="45"/>
      <c r="C54" s="46"/>
      <c r="D54" s="106"/>
      <c r="E54" s="46"/>
      <c r="F54" s="46"/>
      <c r="G54" s="46"/>
      <c r="H54" s="116" t="s">
        <v>117</v>
      </c>
      <c r="I54" s="200">
        <f>ROUND(SUM(I47:I52),0)</f>
        <v>-123000</v>
      </c>
      <c r="J54" s="200">
        <f>ROUND(SUM(J47:J52),0)</f>
        <v>-50000</v>
      </c>
      <c r="K54" s="200">
        <f>ROUND(SUM(K47:K52),0)</f>
        <v>0</v>
      </c>
      <c r="L54" s="200">
        <f>ROUND(SUM(L47:L52),0)</f>
        <v>0</v>
      </c>
      <c r="M54" s="200">
        <f>SUM(I54:L54)</f>
        <v>-173000</v>
      </c>
      <c r="N54" s="111"/>
      <c r="O54" s="46"/>
      <c r="P54" s="47"/>
    </row>
    <row r="55" spans="2:16">
      <c r="B55" s="45"/>
      <c r="C55" s="46"/>
      <c r="D55" s="106"/>
      <c r="E55" s="46"/>
      <c r="F55" s="46"/>
      <c r="G55" s="46"/>
      <c r="H55" s="46"/>
      <c r="I55" s="115"/>
      <c r="J55" s="115"/>
      <c r="K55" s="115"/>
      <c r="L55" s="115"/>
      <c r="M55" s="115"/>
      <c r="N55" s="111"/>
      <c r="O55" s="46"/>
      <c r="P55" s="47"/>
    </row>
    <row r="56" spans="2:16">
      <c r="B56" s="45"/>
      <c r="C56" s="46"/>
      <c r="D56" s="106"/>
      <c r="E56" s="46"/>
      <c r="F56" s="46"/>
      <c r="G56" s="46"/>
      <c r="H56" s="116" t="s">
        <v>118</v>
      </c>
      <c r="I56" s="200">
        <f>ROUND(I19+I34-I43+I54,0)</f>
        <v>-360640</v>
      </c>
      <c r="J56" s="200">
        <f>ROUND(J19+J34-J43+J54,0)</f>
        <v>198873</v>
      </c>
      <c r="K56" s="200">
        <f>ROUND(K19+K34-K43+K54,0)</f>
        <v>324963</v>
      </c>
      <c r="L56" s="200">
        <f>ROUND(L19+L34-L43+L54,0)</f>
        <v>653168</v>
      </c>
      <c r="M56" s="200">
        <f>SUM(I56:L56)</f>
        <v>816364</v>
      </c>
      <c r="N56" s="111"/>
      <c r="O56" s="46"/>
      <c r="P56" s="47"/>
    </row>
    <row r="57" spans="2:16">
      <c r="B57" s="45"/>
      <c r="C57" s="46"/>
      <c r="D57" s="106"/>
      <c r="E57" s="46"/>
      <c r="F57" s="46"/>
      <c r="G57" s="46"/>
      <c r="H57" s="46"/>
      <c r="I57" s="115"/>
      <c r="J57" s="115"/>
      <c r="K57" s="115"/>
      <c r="L57" s="115"/>
      <c r="M57" s="115"/>
      <c r="N57" s="111"/>
      <c r="O57" s="46"/>
      <c r="P57" s="47"/>
    </row>
    <row r="58" spans="2:16">
      <c r="B58" s="45"/>
      <c r="C58" s="46"/>
      <c r="D58" s="106"/>
      <c r="E58" s="46"/>
      <c r="F58" s="46"/>
      <c r="G58" s="46"/>
      <c r="H58" s="116" t="s">
        <v>119</v>
      </c>
      <c r="I58" s="200">
        <f>ROUND('Balance Sheet'!H17,0)</f>
        <v>451000</v>
      </c>
      <c r="J58" s="200">
        <f>ROUND('Balance Sheet'!I17,0)</f>
        <v>90360</v>
      </c>
      <c r="K58" s="200">
        <f>ROUND('Balance Sheet'!J17,0)</f>
        <v>289233</v>
      </c>
      <c r="L58" s="200">
        <f>ROUND('Balance Sheet'!K17,0)</f>
        <v>614196</v>
      </c>
      <c r="M58" s="200">
        <f>I58</f>
        <v>451000</v>
      </c>
      <c r="N58" s="111"/>
      <c r="O58" s="46"/>
      <c r="P58" s="47"/>
    </row>
    <row r="59" spans="2:16">
      <c r="B59" s="45"/>
      <c r="C59" s="46"/>
      <c r="D59" s="106"/>
      <c r="E59" s="46"/>
      <c r="F59" s="46"/>
      <c r="G59" s="46"/>
      <c r="H59" s="46"/>
      <c r="I59" s="115"/>
      <c r="J59" s="115"/>
      <c r="K59" s="115"/>
      <c r="L59" s="115"/>
      <c r="M59" s="115"/>
      <c r="N59" s="111"/>
      <c r="O59" s="46"/>
      <c r="P59" s="47"/>
    </row>
    <row r="60" spans="2:16" ht="15">
      <c r="B60" s="45"/>
      <c r="C60" s="46"/>
      <c r="D60" s="106"/>
      <c r="E60" s="46"/>
      <c r="F60" s="46"/>
      <c r="G60" s="46"/>
      <c r="H60" s="117" t="s">
        <v>120</v>
      </c>
      <c r="I60" s="200">
        <f>ROUND(SUM(I56:I58),0)</f>
        <v>90360</v>
      </c>
      <c r="J60" s="200">
        <f>ROUND(SUM(J56:J58),0)</f>
        <v>289233</v>
      </c>
      <c r="K60" s="200">
        <f>ROUND(SUM(K56:K58),0)</f>
        <v>614196</v>
      </c>
      <c r="L60" s="200">
        <f>ROUND(SUM(L56:L58),0)</f>
        <v>1267364</v>
      </c>
      <c r="M60" s="200">
        <f>SUM(M56:M58)</f>
        <v>1267364</v>
      </c>
      <c r="N60" s="111"/>
      <c r="O60" s="46"/>
      <c r="P60" s="47"/>
    </row>
    <row r="61" spans="2:16" ht="13.5" thickBot="1">
      <c r="B61" s="45"/>
      <c r="C61" s="46"/>
      <c r="D61" s="118"/>
      <c r="E61" s="119"/>
      <c r="F61" s="119"/>
      <c r="G61" s="119"/>
      <c r="H61" s="119"/>
      <c r="I61" s="119"/>
      <c r="J61" s="119"/>
      <c r="K61" s="119"/>
      <c r="L61" s="119"/>
      <c r="M61" s="119"/>
      <c r="N61" s="120"/>
      <c r="O61" s="46"/>
      <c r="P61" s="47"/>
    </row>
    <row r="62" spans="2:16" ht="13.5" thickBot="1">
      <c r="B62" s="45"/>
      <c r="C62" s="46"/>
      <c r="D62" s="121"/>
      <c r="E62" s="121"/>
      <c r="F62" s="121"/>
      <c r="G62" s="121"/>
      <c r="H62" s="121"/>
      <c r="I62" s="121"/>
      <c r="J62" s="121"/>
      <c r="K62" s="121"/>
      <c r="L62" s="121"/>
      <c r="M62" s="121"/>
      <c r="N62" s="121"/>
      <c r="O62" s="121"/>
      <c r="P62" s="47"/>
    </row>
    <row r="63" spans="2:16" ht="3" customHeight="1" thickTop="1">
      <c r="B63" s="45"/>
      <c r="C63" s="46"/>
      <c r="D63" s="122"/>
      <c r="E63" s="122"/>
      <c r="F63" s="122"/>
      <c r="G63" s="122"/>
      <c r="H63" s="122"/>
      <c r="I63" s="122"/>
      <c r="J63" s="122"/>
      <c r="K63" s="122"/>
      <c r="L63" s="122"/>
      <c r="M63" s="122"/>
      <c r="N63" s="122"/>
      <c r="O63" s="121"/>
      <c r="P63" s="47"/>
    </row>
    <row r="64" spans="2:16">
      <c r="B64" s="45"/>
      <c r="C64" s="46"/>
      <c r="D64" s="121"/>
      <c r="E64" s="121"/>
      <c r="F64" s="121"/>
      <c r="G64" s="121"/>
      <c r="H64" s="121"/>
      <c r="I64" s="121"/>
      <c r="J64" s="121"/>
      <c r="K64" s="121"/>
      <c r="L64" s="121"/>
      <c r="M64" s="121"/>
      <c r="N64" s="121"/>
      <c r="O64" s="121"/>
      <c r="P64" s="47"/>
    </row>
    <row r="65" spans="2:16">
      <c r="B65" s="45"/>
      <c r="C65" s="46"/>
      <c r="D65" s="214"/>
      <c r="E65" s="215"/>
      <c r="F65" s="215"/>
      <c r="G65" s="215"/>
      <c r="H65" s="215"/>
      <c r="I65" s="215"/>
      <c r="J65" s="215"/>
      <c r="K65" s="215"/>
      <c r="L65" s="215"/>
      <c r="M65" s="215"/>
      <c r="N65" s="215"/>
      <c r="O65" s="121"/>
      <c r="P65" s="47"/>
    </row>
    <row r="66" spans="2:16">
      <c r="B66" s="45"/>
      <c r="C66" s="46"/>
      <c r="D66" s="121"/>
      <c r="E66" s="121"/>
      <c r="F66" s="121"/>
      <c r="G66" s="121"/>
      <c r="H66" s="121"/>
      <c r="I66" s="121"/>
      <c r="J66" s="121"/>
      <c r="K66" s="121"/>
      <c r="L66" s="121"/>
      <c r="M66" s="121"/>
      <c r="N66" s="121"/>
      <c r="O66" s="121"/>
      <c r="P66" s="47"/>
    </row>
    <row r="67" spans="2:16">
      <c r="B67" s="45"/>
      <c r="C67" s="46"/>
      <c r="D67" s="121"/>
      <c r="E67" s="121"/>
      <c r="F67" s="121"/>
      <c r="G67" s="121"/>
      <c r="H67" s="121"/>
      <c r="I67" s="121"/>
      <c r="J67" s="121"/>
      <c r="K67" s="121"/>
      <c r="L67" s="121"/>
      <c r="M67" s="121"/>
      <c r="N67" s="121"/>
      <c r="O67" s="121"/>
      <c r="P67" s="47"/>
    </row>
    <row r="68" spans="2:16" ht="0.95" customHeight="1" thickBot="1">
      <c r="B68" s="123"/>
      <c r="C68" s="124"/>
      <c r="D68" s="124"/>
      <c r="E68" s="124"/>
      <c r="F68" s="124"/>
      <c r="G68" s="124"/>
      <c r="H68" s="124"/>
      <c r="I68" s="124"/>
      <c r="J68" s="124"/>
      <c r="K68" s="124"/>
      <c r="L68" s="124"/>
      <c r="M68" s="124"/>
      <c r="N68" s="124"/>
      <c r="O68" s="124"/>
      <c r="P68" s="125"/>
    </row>
    <row r="69" spans="2:16" ht="13.5" thickTop="1"/>
  </sheetData>
  <mergeCells count="2">
    <mergeCell ref="D6:N6"/>
    <mergeCell ref="D65:N65"/>
  </mergeCells>
  <phoneticPr fontId="3" type="noConversion"/>
  <printOptions horizontalCentered="1"/>
  <pageMargins left="0.75" right="0.75" top="1" bottom="1" header="0.5" footer="0.5"/>
  <pageSetup scale="71" orientation="portrait" horizontalDpi="360" verticalDpi="36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1:S69"/>
  <sheetViews>
    <sheetView showGridLines="0" showRowColHeaders="0" defaultGridColor="0" colorId="7" zoomScaleNormal="100" workbookViewId="0"/>
  </sheetViews>
  <sheetFormatPr defaultColWidth="10.28515625" defaultRowHeight="12.75"/>
  <cols>
    <col min="1" max="1" width="1.28515625" style="95" customWidth="1"/>
    <col min="2" max="2" width="0.42578125" style="95" customWidth="1"/>
    <col min="3" max="4" width="3.7109375" style="95" customWidth="1"/>
    <col min="5" max="5" width="1.42578125" style="95" customWidth="1"/>
    <col min="6" max="7" width="10.28515625" style="95"/>
    <col min="8" max="8" width="26.28515625" style="95" customWidth="1"/>
    <col min="9" max="16" width="11.28515625" style="95" customWidth="1"/>
    <col min="17" max="18" width="3.7109375" style="95" customWidth="1"/>
    <col min="19" max="19" width="0.42578125" style="95" customWidth="1"/>
    <col min="20" max="16384" width="10.28515625" style="95"/>
  </cols>
  <sheetData>
    <row r="1" spans="2:19" ht="5.25" customHeight="1"/>
    <row r="2" spans="2:19" ht="13.5" thickBot="1"/>
    <row r="3" spans="2:19" ht="0.95" customHeight="1" thickTop="1">
      <c r="B3" s="96"/>
      <c r="C3" s="97"/>
      <c r="D3" s="97"/>
      <c r="E3" s="97"/>
      <c r="F3" s="97"/>
      <c r="G3" s="97"/>
      <c r="H3" s="97"/>
      <c r="I3" s="97"/>
      <c r="J3" s="97"/>
      <c r="K3" s="97"/>
      <c r="L3" s="97"/>
      <c r="M3" s="97"/>
      <c r="N3" s="97"/>
      <c r="O3" s="97"/>
      <c r="P3" s="97"/>
      <c r="Q3" s="97"/>
      <c r="R3" s="97"/>
      <c r="S3" s="98"/>
    </row>
    <row r="4" spans="2:19">
      <c r="B4" s="45"/>
      <c r="C4" s="46"/>
      <c r="D4" s="46"/>
      <c r="E4" s="46"/>
      <c r="F4" s="46"/>
      <c r="G4" s="46"/>
      <c r="H4" s="46"/>
      <c r="I4" s="46"/>
      <c r="J4" s="46"/>
      <c r="K4" s="46"/>
      <c r="L4" s="46"/>
      <c r="M4" s="46"/>
      <c r="N4" s="46"/>
      <c r="O4" s="46"/>
      <c r="P4" s="46"/>
      <c r="Q4" s="46"/>
      <c r="R4" s="46"/>
      <c r="S4" s="47"/>
    </row>
    <row r="5" spans="2:19">
      <c r="B5" s="45"/>
      <c r="C5" s="46"/>
      <c r="D5" s="46"/>
      <c r="E5" s="46"/>
      <c r="F5" s="46"/>
      <c r="G5" s="46"/>
      <c r="H5" s="46"/>
      <c r="I5" s="46"/>
      <c r="J5" s="46"/>
      <c r="K5" s="46"/>
      <c r="L5" s="46"/>
      <c r="M5" s="46"/>
      <c r="N5" s="46"/>
      <c r="O5" s="46"/>
      <c r="P5" s="46"/>
      <c r="Q5" s="46"/>
      <c r="R5" s="46"/>
      <c r="S5" s="47"/>
    </row>
    <row r="6" spans="2:19" ht="30" customHeight="1">
      <c r="B6" s="45"/>
      <c r="C6" s="46"/>
      <c r="D6" s="219" t="s">
        <v>128</v>
      </c>
      <c r="E6" s="219"/>
      <c r="F6" s="219"/>
      <c r="G6" s="219"/>
      <c r="H6" s="219"/>
      <c r="I6" s="219"/>
      <c r="J6" s="219"/>
      <c r="K6" s="219"/>
      <c r="L6" s="219"/>
      <c r="M6" s="219"/>
      <c r="N6" s="219"/>
      <c r="O6" s="219"/>
      <c r="P6" s="219"/>
      <c r="Q6" s="219"/>
      <c r="R6" s="46"/>
      <c r="S6" s="47"/>
    </row>
    <row r="7" spans="2:19">
      <c r="B7" s="45"/>
      <c r="C7" s="46"/>
      <c r="D7" s="46"/>
      <c r="E7" s="46"/>
      <c r="F7" s="46"/>
      <c r="G7" s="46"/>
      <c r="H7" s="46"/>
      <c r="I7" s="46"/>
      <c r="J7" s="46"/>
      <c r="K7" s="46"/>
      <c r="L7" s="46"/>
      <c r="M7" s="46"/>
      <c r="N7" s="46"/>
      <c r="O7" s="46"/>
      <c r="P7" s="46"/>
      <c r="Q7" s="46"/>
      <c r="R7" s="46"/>
      <c r="S7" s="47"/>
    </row>
    <row r="8" spans="2:19" ht="13.5" thickBot="1">
      <c r="B8" s="45"/>
      <c r="C8" s="46"/>
      <c r="D8" s="46"/>
      <c r="E8" s="46"/>
      <c r="F8" s="46"/>
      <c r="G8" s="46"/>
      <c r="H8" s="46"/>
      <c r="I8" s="46"/>
      <c r="J8" s="46"/>
      <c r="K8" s="46"/>
      <c r="L8" s="46"/>
      <c r="M8" s="46"/>
      <c r="N8" s="46"/>
      <c r="O8" s="46"/>
      <c r="P8" s="46"/>
      <c r="Q8" s="46"/>
      <c r="R8" s="46"/>
      <c r="S8" s="47"/>
    </row>
    <row r="9" spans="2:19" ht="3" customHeight="1" thickTop="1">
      <c r="B9" s="45"/>
      <c r="C9" s="46"/>
      <c r="D9" s="99"/>
      <c r="E9" s="100"/>
      <c r="F9" s="99"/>
      <c r="G9" s="99"/>
      <c r="H9" s="99"/>
      <c r="I9" s="99"/>
      <c r="J9" s="99"/>
      <c r="K9" s="99"/>
      <c r="L9" s="99"/>
      <c r="M9" s="99"/>
      <c r="N9" s="99"/>
      <c r="O9" s="99"/>
      <c r="P9" s="99"/>
      <c r="Q9" s="99"/>
      <c r="R9" s="46"/>
      <c r="S9" s="47"/>
    </row>
    <row r="10" spans="2:19">
      <c r="B10" s="45"/>
      <c r="C10" s="46"/>
      <c r="D10" s="46"/>
      <c r="E10" s="101"/>
      <c r="F10" s="46"/>
      <c r="G10" s="46"/>
      <c r="H10" s="46"/>
      <c r="I10" s="46"/>
      <c r="J10" s="46"/>
      <c r="K10" s="46"/>
      <c r="L10" s="46"/>
      <c r="M10" s="46"/>
      <c r="N10" s="46"/>
      <c r="O10" s="46"/>
      <c r="P10" s="46"/>
      <c r="Q10" s="46"/>
      <c r="R10" s="46"/>
      <c r="S10" s="47"/>
    </row>
    <row r="11" spans="2:19" ht="13.5" thickBot="1">
      <c r="B11" s="45"/>
      <c r="C11" s="46"/>
      <c r="D11" s="46"/>
      <c r="E11" s="101"/>
      <c r="F11" s="46"/>
      <c r="G11" s="46"/>
      <c r="H11" s="46"/>
      <c r="I11" s="46"/>
      <c r="J11" s="46"/>
      <c r="K11" s="46"/>
      <c r="L11" s="46"/>
      <c r="M11" s="46"/>
      <c r="N11" s="46"/>
      <c r="O11" s="46"/>
      <c r="P11" s="46"/>
      <c r="Q11" s="46"/>
      <c r="R11" s="46"/>
      <c r="S11" s="47"/>
    </row>
    <row r="12" spans="2:19">
      <c r="B12" s="45"/>
      <c r="C12" s="46"/>
      <c r="D12" s="103"/>
      <c r="E12" s="104"/>
      <c r="F12" s="104"/>
      <c r="G12" s="104"/>
      <c r="H12" s="104"/>
      <c r="I12" s="104"/>
      <c r="J12" s="104"/>
      <c r="K12" s="104"/>
      <c r="L12" s="104"/>
      <c r="M12" s="104"/>
      <c r="N12" s="104"/>
      <c r="O12" s="104"/>
      <c r="P12" s="104"/>
      <c r="Q12" s="105"/>
      <c r="R12" s="46"/>
      <c r="S12" s="47"/>
    </row>
    <row r="13" spans="2:19">
      <c r="B13" s="45"/>
      <c r="C13" s="46"/>
      <c r="D13" s="106"/>
      <c r="E13" s="46" t="str">
        <f>'Balance Sheet'!F13</f>
        <v xml:space="preserve"> </v>
      </c>
      <c r="F13" s="46"/>
      <c r="G13" s="46"/>
      <c r="H13" s="46"/>
      <c r="I13" s="179" t="s">
        <v>126</v>
      </c>
      <c r="J13" s="180"/>
      <c r="K13" s="180"/>
      <c r="L13" s="180"/>
      <c r="M13" s="182" t="s">
        <v>127</v>
      </c>
      <c r="N13" s="180"/>
      <c r="O13" s="180"/>
      <c r="P13" s="181"/>
      <c r="Q13" s="111"/>
      <c r="R13" s="46"/>
      <c r="S13" s="47"/>
    </row>
    <row r="14" spans="2:19">
      <c r="B14" s="45"/>
      <c r="C14" s="46"/>
      <c r="D14" s="106"/>
      <c r="E14" s="46"/>
      <c r="F14" s="46"/>
      <c r="G14" s="46"/>
      <c r="H14" s="46"/>
      <c r="I14" s="112" t="str">
        <f>'Balance Sheet'!I14</f>
        <v>1st Qtr</v>
      </c>
      <c r="J14" s="112" t="str">
        <f>'Balance Sheet'!J14</f>
        <v>2nd Qtr</v>
      </c>
      <c r="K14" s="112" t="str">
        <f>'Balance Sheet'!K14</f>
        <v>3rd Qtr</v>
      </c>
      <c r="L14" s="177" t="str">
        <f>'Balance Sheet'!L14</f>
        <v>4th Qtr</v>
      </c>
      <c r="M14" s="185" t="str">
        <f>IF('Data Entry'!$G$17=1,CONCATENATE("5th ","Qtr"),IF('Data Entry'!$G$17=2,CONCATENATE("5th ","Year"),"Incorrect Entry"))</f>
        <v>5th Qtr</v>
      </c>
      <c r="N14" s="112" t="str">
        <f>IF('Data Entry'!$G$17=1,CONCATENATE("6th ","Qtr"),IF('Data Entry'!$G$17=2,CONCATENATE("6th ","Year"),"Incorrect Entry"))</f>
        <v>6th Qtr</v>
      </c>
      <c r="O14" s="112" t="str">
        <f>IF('Data Entry'!$G$17=1,CONCATENATE("7th ","Qtr"),IF('Data Entry'!$G$17=2,CONCATENATE("7th ","Year"),"Incorrect Entry"))</f>
        <v>7th Qtr</v>
      </c>
      <c r="P14" s="112" t="str">
        <f>IF('Data Entry'!$G$17=1,CONCATENATE("8th ","Qtr"),IF('Data Entry'!$G$17=2,CONCATENATE("8th ","Year"),"Incorrect Entry"))</f>
        <v>8th Qtr</v>
      </c>
      <c r="Q14" s="111"/>
      <c r="R14" s="46"/>
      <c r="S14" s="47"/>
    </row>
    <row r="15" spans="2:19">
      <c r="B15" s="45"/>
      <c r="C15" s="46"/>
      <c r="D15" s="106"/>
      <c r="E15" s="113" t="s">
        <v>101</v>
      </c>
      <c r="F15" s="46"/>
      <c r="G15" s="46"/>
      <c r="H15" s="46"/>
      <c r="I15" s="176">
        <v>1</v>
      </c>
      <c r="J15" s="176">
        <v>2</v>
      </c>
      <c r="K15" s="176">
        <v>3</v>
      </c>
      <c r="L15" s="176">
        <v>4</v>
      </c>
      <c r="M15" s="178">
        <v>5</v>
      </c>
      <c r="N15" s="186">
        <v>6</v>
      </c>
      <c r="O15" s="186">
        <v>7</v>
      </c>
      <c r="P15" s="186">
        <v>8</v>
      </c>
      <c r="Q15" s="111"/>
      <c r="R15" s="46"/>
      <c r="S15" s="47"/>
    </row>
    <row r="16" spans="2:19">
      <c r="B16" s="45"/>
      <c r="C16" s="46"/>
      <c r="D16" s="114"/>
      <c r="E16" s="46"/>
      <c r="F16" s="46" t="s">
        <v>102</v>
      </c>
      <c r="G16" s="46"/>
      <c r="H16" s="46"/>
      <c r="I16" s="200">
        <f>IF('Balance Sheet'!H68="y",ROUND('Income Statement'!H39,0),ROUND('Income Statement'!H35,0))</f>
        <v>490700</v>
      </c>
      <c r="J16" s="200">
        <f>IF('Balance Sheet'!H68="y",ROUND('Income Statement'!I39,0),ROUND('Income Statement'!I35,0))</f>
        <v>227879</v>
      </c>
      <c r="K16" s="200">
        <f>IF('Balance Sheet'!H68="y",ROUND('Income Statement'!J39,0),ROUND('Income Statement'!J35,0))</f>
        <v>170059</v>
      </c>
      <c r="L16" s="201">
        <f>IF('Balance Sheet'!H68="y",ROUND('Income Statement'!K39,0),ROUND('Income Statement'!K35,0))</f>
        <v>746609</v>
      </c>
      <c r="M16" s="202">
        <f>FORECAST($M$15,I16:L16,$I$15:$L$15)</f>
        <v>586288.5</v>
      </c>
      <c r="N16" s="200">
        <f>FORECAST($N$15,I16:M16,$I$15:$M$15)</f>
        <v>657279.19999999995</v>
      </c>
      <c r="O16" s="200">
        <f>FORECAST($O$15,I16:N16,$I$15:$N$15)</f>
        <v>728269.9</v>
      </c>
      <c r="P16" s="200">
        <f>FORECAST($P$15,I16:O16,$I$15:$O$15)</f>
        <v>799260.6</v>
      </c>
      <c r="Q16" s="111"/>
      <c r="R16" s="46"/>
      <c r="S16" s="47"/>
    </row>
    <row r="17" spans="2:19">
      <c r="B17" s="45"/>
      <c r="C17" s="46"/>
      <c r="D17" s="114"/>
      <c r="E17" s="46"/>
      <c r="F17" s="46" t="s">
        <v>103</v>
      </c>
      <c r="G17" s="46"/>
      <c r="H17" s="46"/>
      <c r="I17" s="200">
        <f>ROUND('Income Statement'!H23+'Income Statement'!H24,0)</f>
        <v>33750</v>
      </c>
      <c r="J17" s="200">
        <f>ROUND('Income Statement'!I23+'Income Statement'!I24,0)</f>
        <v>35208</v>
      </c>
      <c r="K17" s="200">
        <f>ROUND('Income Statement'!J23+'Income Statement'!J24,0)</f>
        <v>35208</v>
      </c>
      <c r="L17" s="201">
        <f>ROUND('Income Statement'!K23+'Income Statement'!K24,0)</f>
        <v>35208</v>
      </c>
      <c r="M17" s="202">
        <f>FORECAST($M$15,I17:L17,$I$15:$L$15)</f>
        <v>35937</v>
      </c>
      <c r="N17" s="200">
        <f>FORECAST($N$15,I17:M17,$I$15:$M$15)</f>
        <v>36374.400000000001</v>
      </c>
      <c r="O17" s="200">
        <f>FORECAST($O$15,I17:N17,$I$15:$N$15)</f>
        <v>36811.800000000003</v>
      </c>
      <c r="P17" s="200">
        <f>FORECAST($P$15,I17:O17,$I$15:$O$15)</f>
        <v>37249.200000000004</v>
      </c>
      <c r="Q17" s="111"/>
      <c r="R17" s="46"/>
      <c r="S17" s="47"/>
    </row>
    <row r="18" spans="2:19">
      <c r="B18" s="45"/>
      <c r="C18" s="46"/>
      <c r="D18" s="106"/>
      <c r="E18" s="46"/>
      <c r="F18" s="46"/>
      <c r="G18" s="46"/>
      <c r="H18" s="46"/>
      <c r="I18" s="115"/>
      <c r="J18" s="115"/>
      <c r="K18" s="115"/>
      <c r="L18" s="115"/>
      <c r="M18" s="115"/>
      <c r="N18" s="115"/>
      <c r="O18" s="115"/>
      <c r="P18" s="115"/>
      <c r="Q18" s="111"/>
      <c r="R18" s="46"/>
      <c r="S18" s="47"/>
    </row>
    <row r="19" spans="2:19">
      <c r="B19" s="45"/>
      <c r="C19" s="46"/>
      <c r="D19" s="106"/>
      <c r="E19" s="46"/>
      <c r="F19" s="46"/>
      <c r="G19" s="46"/>
      <c r="H19" s="116" t="s">
        <v>104</v>
      </c>
      <c r="I19" s="200">
        <f>ROUND(SUM(I16:I17),0)</f>
        <v>524450</v>
      </c>
      <c r="J19" s="200">
        <f>ROUND(SUM(J16:J17),0)</f>
        <v>263087</v>
      </c>
      <c r="K19" s="200">
        <f>ROUND(SUM(K16:K17),0)</f>
        <v>205267</v>
      </c>
      <c r="L19" s="201">
        <f>ROUND(SUM(L16:L17),0)</f>
        <v>781817</v>
      </c>
      <c r="M19" s="202">
        <f>FORECAST($M$15,I19:L19,$I$15:$L$15)</f>
        <v>622225.5</v>
      </c>
      <c r="N19" s="200">
        <f>FORECAST($N$15,I19:M19,$I$15:$M$15)</f>
        <v>693653.60000000009</v>
      </c>
      <c r="O19" s="200">
        <f>FORECAST($O$15,I19:N19,$I$15:$N$15)</f>
        <v>765081.70000000019</v>
      </c>
      <c r="P19" s="200">
        <f>FORECAST($P$15,I19:O19,$I$15:$O$15)</f>
        <v>836509.8</v>
      </c>
      <c r="Q19" s="111"/>
      <c r="R19" s="46"/>
      <c r="S19" s="47"/>
    </row>
    <row r="20" spans="2:19">
      <c r="B20" s="45"/>
      <c r="C20" s="46"/>
      <c r="D20" s="106"/>
      <c r="E20" s="46"/>
      <c r="F20" s="46"/>
      <c r="G20" s="46"/>
      <c r="H20" s="46"/>
      <c r="I20" s="115"/>
      <c r="J20" s="115"/>
      <c r="K20" s="115"/>
      <c r="L20" s="115"/>
      <c r="M20" s="115"/>
      <c r="N20" s="115"/>
      <c r="O20" s="115"/>
      <c r="P20" s="115"/>
      <c r="Q20" s="111"/>
      <c r="R20" s="46"/>
      <c r="S20" s="47"/>
    </row>
    <row r="21" spans="2:19">
      <c r="B21" s="45"/>
      <c r="C21" s="46"/>
      <c r="D21" s="106"/>
      <c r="E21" s="113" t="s">
        <v>105</v>
      </c>
      <c r="F21" s="46"/>
      <c r="G21" s="46"/>
      <c r="H21" s="46"/>
      <c r="I21" s="115"/>
      <c r="J21" s="115"/>
      <c r="K21" s="115"/>
      <c r="L21" s="115"/>
      <c r="M21" s="115"/>
      <c r="N21" s="115"/>
      <c r="O21" s="115"/>
      <c r="P21" s="115"/>
      <c r="Q21" s="111"/>
      <c r="R21" s="46"/>
      <c r="S21" s="47"/>
    </row>
    <row r="22" spans="2:19">
      <c r="B22" s="45"/>
      <c r="C22" s="46"/>
      <c r="D22" s="106"/>
      <c r="E22" s="113" t="s">
        <v>106</v>
      </c>
      <c r="F22" s="46"/>
      <c r="G22" s="46"/>
      <c r="H22" s="46"/>
      <c r="I22" s="115"/>
      <c r="J22" s="115"/>
      <c r="K22" s="115"/>
      <c r="L22" s="115"/>
      <c r="M22" s="115"/>
      <c r="N22" s="115"/>
      <c r="O22" s="115"/>
      <c r="P22" s="115"/>
      <c r="Q22" s="111"/>
      <c r="R22" s="46"/>
      <c r="S22" s="47"/>
    </row>
    <row r="23" spans="2:19">
      <c r="B23" s="45"/>
      <c r="C23" s="46"/>
      <c r="D23" s="106"/>
      <c r="E23" s="46"/>
      <c r="F23" s="46" t="s">
        <v>107</v>
      </c>
      <c r="G23" s="46"/>
      <c r="H23" s="46"/>
      <c r="I23" s="200">
        <f>ROUND('Balance Sheet'!H18-'Balance Sheet'!I18,0)</f>
        <v>-307534</v>
      </c>
      <c r="J23" s="200">
        <f>ROUND('Balance Sheet'!I18-'Balance Sheet'!J18,0)</f>
        <v>164383</v>
      </c>
      <c r="K23" s="200">
        <f>ROUND('Balance Sheet'!J18-'Balance Sheet'!K18,0)</f>
        <v>65754</v>
      </c>
      <c r="L23" s="201">
        <f>ROUND('Balance Sheet'!K18-'Balance Sheet'!L18,0)</f>
        <v>-233458</v>
      </c>
      <c r="M23" s="202">
        <f t="shared" ref="M23:M32" si="0">FORECAST($M$15,I23:L23,$I$15:$L$15)</f>
        <v>-46814</v>
      </c>
      <c r="N23" s="200">
        <f t="shared" ref="N23:N32" si="1">FORECAST($N$15,I23:M23,$I$15:$M$15)</f>
        <v>-34454.099999999991</v>
      </c>
      <c r="O23" s="200">
        <f t="shared" ref="O23:O32" si="2">FORECAST($O$15,I23:N23,$I$15:$N$15)</f>
        <v>-22094.199999999997</v>
      </c>
      <c r="P23" s="200">
        <f t="shared" ref="P23:P32" si="3">FORECAST($P$15,I23:O23,$I$15:$O$15)</f>
        <v>-9734.2999999999884</v>
      </c>
      <c r="Q23" s="111"/>
      <c r="R23" s="46"/>
      <c r="S23" s="47"/>
    </row>
    <row r="24" spans="2:19">
      <c r="B24" s="45"/>
      <c r="C24" s="46"/>
      <c r="D24" s="106"/>
      <c r="E24" s="46"/>
      <c r="F24" s="46" t="s">
        <v>66</v>
      </c>
      <c r="G24" s="46"/>
      <c r="H24" s="46"/>
      <c r="I24" s="200">
        <f>ROUND('Balance Sheet'!H19-'Balance Sheet'!I19,0)</f>
        <v>-230411</v>
      </c>
      <c r="J24" s="200">
        <f>ROUND('Balance Sheet'!I19-'Balance Sheet'!J19,0)</f>
        <v>39452</v>
      </c>
      <c r="K24" s="200">
        <f>ROUND('Balance Sheet'!J19-'Balance Sheet'!K19,0)</f>
        <v>15781</v>
      </c>
      <c r="L24" s="201">
        <f>ROUND('Balance Sheet'!K19-'Balance Sheet'!L19,0)</f>
        <v>-117674</v>
      </c>
      <c r="M24" s="202">
        <f t="shared" si="0"/>
        <v>5422</v>
      </c>
      <c r="N24" s="200">
        <f t="shared" si="1"/>
        <v>36876</v>
      </c>
      <c r="O24" s="200">
        <f t="shared" si="2"/>
        <v>68330</v>
      </c>
      <c r="P24" s="200">
        <f t="shared" si="3"/>
        <v>99784</v>
      </c>
      <c r="Q24" s="111"/>
      <c r="R24" s="46"/>
      <c r="S24" s="47"/>
    </row>
    <row r="25" spans="2:19">
      <c r="B25" s="45"/>
      <c r="C25" s="46"/>
      <c r="D25" s="106"/>
      <c r="E25" s="46"/>
      <c r="F25" s="46" t="s">
        <v>67</v>
      </c>
      <c r="G25" s="46"/>
      <c r="H25" s="46"/>
      <c r="I25" s="200">
        <f>ROUND('Balance Sheet'!H20-'Balance Sheet'!I20,0)</f>
        <v>-50000</v>
      </c>
      <c r="J25" s="200">
        <f>ROUND('Balance Sheet'!I20-'Balance Sheet'!J20,0)</f>
        <v>14910</v>
      </c>
      <c r="K25" s="200">
        <f>ROUND('Balance Sheet'!J20-'Balance Sheet'!K20,0)</f>
        <v>-31230</v>
      </c>
      <c r="L25" s="201">
        <f>ROUND('Balance Sheet'!K20-'Balance Sheet'!L20,0)</f>
        <v>26320</v>
      </c>
      <c r="M25" s="202">
        <f t="shared" si="0"/>
        <v>35705</v>
      </c>
      <c r="N25" s="200">
        <f t="shared" si="1"/>
        <v>53987</v>
      </c>
      <c r="O25" s="200">
        <f t="shared" si="2"/>
        <v>72269</v>
      </c>
      <c r="P25" s="200">
        <f t="shared" si="3"/>
        <v>90551</v>
      </c>
      <c r="Q25" s="111"/>
      <c r="R25" s="46"/>
      <c r="S25" s="47"/>
    </row>
    <row r="26" spans="2:19">
      <c r="B26" s="45"/>
      <c r="C26" s="46"/>
      <c r="D26" s="106"/>
      <c r="E26" s="46"/>
      <c r="F26" s="46" t="s">
        <v>108</v>
      </c>
      <c r="G26" s="46"/>
      <c r="H26" s="46"/>
      <c r="I26" s="200">
        <f>ROUND('Balance Sheet'!H36-'Balance Sheet'!I36,0)</f>
        <v>-8000</v>
      </c>
      <c r="J26" s="200">
        <f>ROUND('Balance Sheet'!I36-'Balance Sheet'!J36,0)</f>
        <v>-87000</v>
      </c>
      <c r="K26" s="200">
        <f>ROUND('Balance Sheet'!J36-'Balance Sheet'!K36,0)</f>
        <v>115000</v>
      </c>
      <c r="L26" s="201">
        <f>ROUND('Balance Sheet'!K36-'Balance Sheet'!L36,0)</f>
        <v>-18000</v>
      </c>
      <c r="M26" s="202">
        <f t="shared" si="0"/>
        <v>43500</v>
      </c>
      <c r="N26" s="200">
        <f t="shared" si="1"/>
        <v>60700</v>
      </c>
      <c r="O26" s="200">
        <f t="shared" si="2"/>
        <v>77900</v>
      </c>
      <c r="P26" s="200">
        <f t="shared" si="3"/>
        <v>95100</v>
      </c>
      <c r="Q26" s="111"/>
      <c r="R26" s="46"/>
      <c r="S26" s="47"/>
    </row>
    <row r="27" spans="2:19">
      <c r="B27" s="45"/>
      <c r="C27" s="46"/>
      <c r="D27" s="106"/>
      <c r="E27" s="46"/>
      <c r="F27" s="46" t="s">
        <v>83</v>
      </c>
      <c r="G27" s="46"/>
      <c r="H27" s="46"/>
      <c r="I27" s="200">
        <f>ROUND('Balance Sheet'!I43-'Balance Sheet'!H43,0)</f>
        <v>-271233</v>
      </c>
      <c r="J27" s="200">
        <f>ROUND('Balance Sheet'!J43-'Balance Sheet'!I43,0)</f>
        <v>0</v>
      </c>
      <c r="K27" s="200">
        <f>ROUND('Balance Sheet'!K43-'Balance Sheet'!J43,0)</f>
        <v>0</v>
      </c>
      <c r="L27" s="201">
        <f>ROUND('Balance Sheet'!L43-'Balance Sheet'!K43,0)</f>
        <v>0</v>
      </c>
      <c r="M27" s="202">
        <f t="shared" si="0"/>
        <v>135616.5</v>
      </c>
      <c r="N27" s="200">
        <f t="shared" si="1"/>
        <v>216986.39999999997</v>
      </c>
      <c r="O27" s="200">
        <f t="shared" si="2"/>
        <v>298356.29999999993</v>
      </c>
      <c r="P27" s="200">
        <f t="shared" si="3"/>
        <v>379726.2</v>
      </c>
      <c r="Q27" s="111"/>
      <c r="R27" s="46"/>
      <c r="S27" s="47"/>
    </row>
    <row r="28" spans="2:19">
      <c r="B28" s="45"/>
      <c r="C28" s="46"/>
      <c r="D28" s="106"/>
      <c r="E28" s="46"/>
      <c r="F28" s="46" t="s">
        <v>85</v>
      </c>
      <c r="G28" s="46"/>
      <c r="H28" s="46"/>
      <c r="I28" s="200">
        <f>ROUND('Balance Sheet'!I45-'Balance Sheet'!H45,0)</f>
        <v>0</v>
      </c>
      <c r="J28" s="200">
        <f>ROUND('Balance Sheet'!J45-'Balance Sheet'!I45,0)</f>
        <v>0</v>
      </c>
      <c r="K28" s="200">
        <f>ROUND('Balance Sheet'!K45-'Balance Sheet'!J45,0)</f>
        <v>0</v>
      </c>
      <c r="L28" s="201">
        <f>ROUND('Balance Sheet'!L45-'Balance Sheet'!K45,0)</f>
        <v>0</v>
      </c>
      <c r="M28" s="202">
        <f t="shared" si="0"/>
        <v>0</v>
      </c>
      <c r="N28" s="200">
        <f t="shared" si="1"/>
        <v>0</v>
      </c>
      <c r="O28" s="200">
        <f t="shared" si="2"/>
        <v>0</v>
      </c>
      <c r="P28" s="200">
        <f t="shared" si="3"/>
        <v>0</v>
      </c>
      <c r="Q28" s="111"/>
      <c r="R28" s="46"/>
      <c r="S28" s="47"/>
    </row>
    <row r="29" spans="2:19">
      <c r="B29" s="45"/>
      <c r="C29" s="46"/>
      <c r="D29" s="106"/>
      <c r="E29" s="46"/>
      <c r="F29" s="46" t="s">
        <v>86</v>
      </c>
      <c r="G29" s="46"/>
      <c r="H29" s="46"/>
      <c r="I29" s="200">
        <f>ROUND('Balance Sheet'!I46-'Balance Sheet'!H46,0)</f>
        <v>153300</v>
      </c>
      <c r="J29" s="200">
        <f>ROUND('Balance Sheet'!J46-'Balance Sheet'!I46,0)</f>
        <v>-112637</v>
      </c>
      <c r="K29" s="200">
        <f>ROUND('Balance Sheet'!K46-'Balance Sheet'!J46,0)</f>
        <v>-24780</v>
      </c>
      <c r="L29" s="201">
        <f>ROUND('Balance Sheet'!L46-'Balance Sheet'!K46,0)</f>
        <v>247092</v>
      </c>
      <c r="M29" s="202">
        <f t="shared" si="0"/>
        <v>158052</v>
      </c>
      <c r="N29" s="200">
        <f t="shared" si="1"/>
        <v>194975.3</v>
      </c>
      <c r="O29" s="200">
        <f t="shared" si="2"/>
        <v>231898.59999999998</v>
      </c>
      <c r="P29" s="200">
        <f t="shared" si="3"/>
        <v>268821.89999999997</v>
      </c>
      <c r="Q29" s="111"/>
      <c r="R29" s="46"/>
      <c r="S29" s="47"/>
    </row>
    <row r="30" spans="2:19">
      <c r="B30" s="45"/>
      <c r="C30" s="46"/>
      <c r="D30" s="106"/>
      <c r="E30" s="46"/>
      <c r="F30" s="46" t="s">
        <v>87</v>
      </c>
      <c r="G30" s="46"/>
      <c r="H30" s="46"/>
      <c r="I30" s="200">
        <f>ROUND('Balance Sheet'!I47-'Balance Sheet'!H47,0)</f>
        <v>-6712</v>
      </c>
      <c r="J30" s="200">
        <f>ROUND('Balance Sheet'!J47-'Balance Sheet'!I47,0)</f>
        <v>-20822</v>
      </c>
      <c r="K30" s="200">
        <f>ROUND('Balance Sheet'!K47-'Balance Sheet'!J47,0)</f>
        <v>-8329</v>
      </c>
      <c r="L30" s="201">
        <f>ROUND('Balance Sheet'!L47-'Balance Sheet'!K47,0)</f>
        <v>29571</v>
      </c>
      <c r="M30" s="202">
        <f t="shared" si="0"/>
        <v>28762.5</v>
      </c>
      <c r="N30" s="200">
        <f t="shared" si="1"/>
        <v>40896.700000000004</v>
      </c>
      <c r="O30" s="200">
        <f t="shared" si="2"/>
        <v>53030.900000000009</v>
      </c>
      <c r="P30" s="200">
        <f t="shared" si="3"/>
        <v>65165.100000000006</v>
      </c>
      <c r="Q30" s="111"/>
      <c r="R30" s="46"/>
      <c r="S30" s="47"/>
    </row>
    <row r="31" spans="2:19">
      <c r="B31" s="45"/>
      <c r="C31" s="46"/>
      <c r="D31" s="106"/>
      <c r="E31" s="46"/>
      <c r="F31" s="46" t="s">
        <v>88</v>
      </c>
      <c r="G31" s="46"/>
      <c r="H31" s="46"/>
      <c r="I31" s="200">
        <f>ROUND('Balance Sheet'!I48-'Balance Sheet'!H48,0)</f>
        <v>-4000</v>
      </c>
      <c r="J31" s="200">
        <f>ROUND('Balance Sheet'!J48-'Balance Sheet'!I48,0)</f>
        <v>0</v>
      </c>
      <c r="K31" s="200">
        <f>ROUND('Balance Sheet'!K48-'Balance Sheet'!J48,0)</f>
        <v>0</v>
      </c>
      <c r="L31" s="201">
        <f>ROUND('Balance Sheet'!L48-'Balance Sheet'!K48,0)</f>
        <v>0</v>
      </c>
      <c r="M31" s="202">
        <f t="shared" si="0"/>
        <v>2000</v>
      </c>
      <c r="N31" s="200">
        <f t="shared" si="1"/>
        <v>3200</v>
      </c>
      <c r="O31" s="200">
        <f t="shared" si="2"/>
        <v>4400</v>
      </c>
      <c r="P31" s="200">
        <f t="shared" si="3"/>
        <v>5600</v>
      </c>
      <c r="Q31" s="111"/>
      <c r="R31" s="46"/>
      <c r="S31" s="47"/>
    </row>
    <row r="32" spans="2:19">
      <c r="B32" s="45"/>
      <c r="C32" s="46"/>
      <c r="D32" s="106"/>
      <c r="E32" s="46"/>
      <c r="F32" s="46" t="str">
        <f>IF('Balance Sheet'!H68="y","Dividends paid","Distributions to shareholders")</f>
        <v>Dividends paid</v>
      </c>
      <c r="G32" s="46"/>
      <c r="H32" s="46"/>
      <c r="I32" s="200">
        <f>ROUND('Income Statement'!H43*-1,0)</f>
        <v>0</v>
      </c>
      <c r="J32" s="200">
        <f>ROUND('Income Statement'!I43*-1,0)</f>
        <v>0</v>
      </c>
      <c r="K32" s="200">
        <f>ROUND('Income Statement'!J43*-1,0)</f>
        <v>0</v>
      </c>
      <c r="L32" s="201">
        <f>ROUND('Income Statement'!K43*-1,0)</f>
        <v>-50000</v>
      </c>
      <c r="M32" s="202">
        <f t="shared" si="0"/>
        <v>-50000</v>
      </c>
      <c r="N32" s="200">
        <f t="shared" si="1"/>
        <v>-65000</v>
      </c>
      <c r="O32" s="200">
        <f t="shared" si="2"/>
        <v>-80000</v>
      </c>
      <c r="P32" s="200">
        <f t="shared" si="3"/>
        <v>-95000</v>
      </c>
      <c r="Q32" s="111"/>
      <c r="R32" s="46"/>
      <c r="S32" s="47"/>
    </row>
    <row r="33" spans="2:19">
      <c r="B33" s="45"/>
      <c r="C33" s="46"/>
      <c r="D33" s="106"/>
      <c r="E33" s="46"/>
      <c r="F33" s="46"/>
      <c r="G33" s="46"/>
      <c r="H33" s="46"/>
      <c r="I33" s="115"/>
      <c r="J33" s="115"/>
      <c r="K33" s="115"/>
      <c r="L33" s="115"/>
      <c r="M33" s="115"/>
      <c r="N33" s="115"/>
      <c r="O33" s="115"/>
      <c r="P33" s="115"/>
      <c r="Q33" s="111"/>
      <c r="R33" s="46"/>
      <c r="S33" s="47"/>
    </row>
    <row r="34" spans="2:19">
      <c r="B34" s="45"/>
      <c r="C34" s="46"/>
      <c r="D34" s="106"/>
      <c r="E34" s="46"/>
      <c r="F34" s="46"/>
      <c r="G34" s="46"/>
      <c r="H34" s="116" t="s">
        <v>104</v>
      </c>
      <c r="I34" s="200">
        <f>ROUND(SUM(I23:I32),0)</f>
        <v>-724590</v>
      </c>
      <c r="J34" s="200">
        <f>ROUND(SUM(J23:J32),0)</f>
        <v>-1714</v>
      </c>
      <c r="K34" s="200">
        <f>ROUND(SUM(K23:K32),0)</f>
        <v>132196</v>
      </c>
      <c r="L34" s="201">
        <f>ROUND(SUM(L23:L32),0)</f>
        <v>-116149</v>
      </c>
      <c r="M34" s="202">
        <f>FORECAST($M$15,I34:L34,$I$15:$L$15)</f>
        <v>312244</v>
      </c>
      <c r="N34" s="200">
        <f>FORECAST($N$15,I34:M34,$I$15:$M$15)</f>
        <v>508167.29999999993</v>
      </c>
      <c r="O34" s="200">
        <f>FORECAST($O$15,I34:N34,$I$15:$N$15)</f>
        <v>704090.59999999986</v>
      </c>
      <c r="P34" s="200">
        <f>FORECAST($P$15,I34:O34,$I$15:$O$15)</f>
        <v>900013.9</v>
      </c>
      <c r="Q34" s="111"/>
      <c r="R34" s="46"/>
      <c r="S34" s="47"/>
    </row>
    <row r="35" spans="2:19">
      <c r="B35" s="45"/>
      <c r="C35" s="46"/>
      <c r="D35" s="106"/>
      <c r="E35" s="46"/>
      <c r="F35" s="46"/>
      <c r="G35" s="46"/>
      <c r="H35" s="46"/>
      <c r="I35" s="115"/>
      <c r="J35" s="115"/>
      <c r="K35" s="115"/>
      <c r="L35" s="115"/>
      <c r="M35" s="115"/>
      <c r="N35" s="115"/>
      <c r="O35" s="115"/>
      <c r="P35" s="115"/>
      <c r="Q35" s="111"/>
      <c r="R35" s="46"/>
      <c r="S35" s="47"/>
    </row>
    <row r="36" spans="2:19">
      <c r="B36" s="45"/>
      <c r="C36" s="46"/>
      <c r="D36" s="106"/>
      <c r="E36" s="113" t="s">
        <v>109</v>
      </c>
      <c r="F36" s="46"/>
      <c r="G36" s="46"/>
      <c r="H36" s="46"/>
      <c r="I36" s="115"/>
      <c r="J36" s="115"/>
      <c r="K36" s="115"/>
      <c r="L36" s="115"/>
      <c r="M36" s="115"/>
      <c r="N36" s="115"/>
      <c r="O36" s="115"/>
      <c r="P36" s="115"/>
      <c r="Q36" s="111"/>
      <c r="R36" s="46"/>
      <c r="S36" s="47"/>
    </row>
    <row r="37" spans="2:19">
      <c r="B37" s="45"/>
      <c r="C37" s="46"/>
      <c r="D37" s="106"/>
      <c r="E37" s="113" t="s">
        <v>110</v>
      </c>
      <c r="F37" s="46"/>
      <c r="G37" s="46"/>
      <c r="H37" s="46"/>
      <c r="I37" s="115"/>
      <c r="J37" s="115"/>
      <c r="K37" s="115"/>
      <c r="L37" s="115"/>
      <c r="M37" s="115"/>
      <c r="N37" s="115"/>
      <c r="O37" s="115"/>
      <c r="P37" s="115"/>
      <c r="Q37" s="111"/>
      <c r="R37" s="46"/>
      <c r="S37" s="47"/>
    </row>
    <row r="38" spans="2:19">
      <c r="B38" s="45"/>
      <c r="C38" s="46"/>
      <c r="D38" s="106"/>
      <c r="E38" s="46"/>
      <c r="F38" s="46" t="s">
        <v>111</v>
      </c>
      <c r="G38" s="46"/>
      <c r="H38" s="46"/>
      <c r="I38" s="200">
        <f>ROUND('Balance Sheet'!I24-'Balance Sheet'!H24,0)</f>
        <v>12500</v>
      </c>
      <c r="J38" s="200">
        <f>ROUND('Balance Sheet'!J24-'Balance Sheet'!I24,0)</f>
        <v>12500</v>
      </c>
      <c r="K38" s="200">
        <f>ROUND('Balance Sheet'!K24-'Balance Sheet'!J24,0)</f>
        <v>12500</v>
      </c>
      <c r="L38" s="201">
        <f>ROUND('Balance Sheet'!L24-'Balance Sheet'!K24,0)</f>
        <v>12500</v>
      </c>
      <c r="M38" s="202">
        <f>FORECAST($M$15,I38:L38,$I$15:$L$15)</f>
        <v>12500</v>
      </c>
      <c r="N38" s="200">
        <f>FORECAST($N$15,I38:M38,$I$15:$M$15)</f>
        <v>12500</v>
      </c>
      <c r="O38" s="200">
        <f>FORECAST($O$15,I38:N38,$I$15:$N$15)</f>
        <v>12500</v>
      </c>
      <c r="P38" s="200">
        <f>FORECAST($P$15,I38:O38,$I$15:$O$15)</f>
        <v>12500</v>
      </c>
      <c r="Q38" s="111"/>
      <c r="R38" s="46"/>
      <c r="S38" s="47"/>
    </row>
    <row r="39" spans="2:19">
      <c r="B39" s="45"/>
      <c r="C39" s="46"/>
      <c r="D39" s="106"/>
      <c r="E39" s="46"/>
      <c r="F39" s="46" t="s">
        <v>112</v>
      </c>
      <c r="G39" s="46"/>
      <c r="H39" s="46"/>
      <c r="I39" s="200">
        <f>ROUND('Balance Sheet'!I25-'Balance Sheet'!H25,0)</f>
        <v>-50000</v>
      </c>
      <c r="J39" s="200">
        <f>ROUND('Balance Sheet'!J25-'Balance Sheet'!I25,0)</f>
        <v>0</v>
      </c>
      <c r="K39" s="200">
        <f>ROUND('Balance Sheet'!K25-'Balance Sheet'!J25,0)</f>
        <v>0</v>
      </c>
      <c r="L39" s="201">
        <f>ROUND('Balance Sheet'!L25-'Balance Sheet'!K25,0)</f>
        <v>0</v>
      </c>
      <c r="M39" s="202">
        <f>FORECAST($M$15,I39:L39,$I$15:$L$15)</f>
        <v>25000</v>
      </c>
      <c r="N39" s="200">
        <f>FORECAST($N$15,I39:M39,$I$15:$M$15)</f>
        <v>40000</v>
      </c>
      <c r="O39" s="200">
        <f>FORECAST($O$15,I39:N39,$I$15:$N$15)</f>
        <v>55000</v>
      </c>
      <c r="P39" s="200">
        <f>FORECAST($P$15,I39:O39,$I$15:$O$15)</f>
        <v>70000</v>
      </c>
      <c r="Q39" s="111"/>
      <c r="R39" s="46"/>
      <c r="S39" s="47"/>
    </row>
    <row r="40" spans="2:19">
      <c r="B40" s="45"/>
      <c r="C40" s="46"/>
      <c r="D40" s="106"/>
      <c r="E40" s="46"/>
      <c r="F40" s="46" t="s">
        <v>72</v>
      </c>
      <c r="G40" s="46"/>
      <c r="H40" s="46"/>
      <c r="I40" s="200">
        <f>ROUND('Balance Sheet'!I26-'Balance Sheet'!H26,0)</f>
        <v>75000</v>
      </c>
      <c r="J40" s="200">
        <f>ROUND('Balance Sheet'!J26-'Balance Sheet'!I26,0)</f>
        <v>0</v>
      </c>
      <c r="K40" s="200">
        <f>ROUND('Balance Sheet'!K26-'Balance Sheet'!J26,0)</f>
        <v>0</v>
      </c>
      <c r="L40" s="201">
        <f>ROUND('Balance Sheet'!L26-'Balance Sheet'!K26,0)</f>
        <v>0</v>
      </c>
      <c r="M40" s="202">
        <f>FORECAST($M$15,I40:L40,$I$15:$L$15)</f>
        <v>-37500</v>
      </c>
      <c r="N40" s="200">
        <f>FORECAST($N$15,I40:M40,$I$15:$M$15)</f>
        <v>-60000</v>
      </c>
      <c r="O40" s="200">
        <f>FORECAST($O$15,I40:N40,$I$15:$N$15)</f>
        <v>-82500</v>
      </c>
      <c r="P40" s="200">
        <f>FORECAST($P$15,I40:O40,$I$15:$O$15)</f>
        <v>-105000</v>
      </c>
      <c r="Q40" s="111"/>
      <c r="R40" s="46"/>
      <c r="S40" s="47"/>
    </row>
    <row r="41" spans="2:19">
      <c r="B41" s="45"/>
      <c r="C41" s="46"/>
      <c r="D41" s="106"/>
      <c r="E41" s="46"/>
      <c r="F41" s="46" t="s">
        <v>113</v>
      </c>
      <c r="G41" s="46"/>
      <c r="H41" s="46"/>
      <c r="I41" s="200">
        <f>ROUND('Balance Sheet'!I32-'Balance Sheet'!H32,0)</f>
        <v>0</v>
      </c>
      <c r="J41" s="200">
        <f>ROUND('Balance Sheet'!J32-'Balance Sheet'!I32,0)</f>
        <v>0</v>
      </c>
      <c r="K41" s="200">
        <f>ROUND('Balance Sheet'!K32-'Balance Sheet'!J32,0)</f>
        <v>0</v>
      </c>
      <c r="L41" s="201">
        <f>ROUND('Balance Sheet'!L32-'Balance Sheet'!K32,0)</f>
        <v>0</v>
      </c>
      <c r="M41" s="202">
        <f>FORECAST($M$15,I41:L41,$I$15:$L$15)</f>
        <v>0</v>
      </c>
      <c r="N41" s="200">
        <f>FORECAST($N$15,I41:M41,$I$15:$M$15)</f>
        <v>0</v>
      </c>
      <c r="O41" s="200">
        <f>FORECAST($O$15,I41:N41,$I$15:$N$15)</f>
        <v>0</v>
      </c>
      <c r="P41" s="200">
        <f>FORECAST($P$15,I41:O41,$I$15:$O$15)</f>
        <v>0</v>
      </c>
      <c r="Q41" s="111"/>
      <c r="R41" s="46"/>
      <c r="S41" s="47"/>
    </row>
    <row r="42" spans="2:19">
      <c r="B42" s="45"/>
      <c r="C42" s="46"/>
      <c r="D42" s="106"/>
      <c r="E42" s="46"/>
      <c r="F42" s="46"/>
      <c r="G42" s="46"/>
      <c r="H42" s="46"/>
      <c r="I42" s="115"/>
      <c r="J42" s="115"/>
      <c r="K42" s="115"/>
      <c r="L42" s="115"/>
      <c r="M42" s="115"/>
      <c r="N42" s="115"/>
      <c r="O42" s="115"/>
      <c r="P42" s="115"/>
      <c r="Q42" s="111"/>
      <c r="R42" s="46"/>
      <c r="S42" s="47"/>
    </row>
    <row r="43" spans="2:19">
      <c r="B43" s="45"/>
      <c r="C43" s="46"/>
      <c r="D43" s="106"/>
      <c r="E43" s="46"/>
      <c r="F43" s="46"/>
      <c r="G43" s="46"/>
      <c r="H43" s="116" t="s">
        <v>114</v>
      </c>
      <c r="I43" s="200">
        <f>ROUND(SUM(I38:I41),0)</f>
        <v>37500</v>
      </c>
      <c r="J43" s="200">
        <f>ROUND(SUM(J38:J41),0)</f>
        <v>12500</v>
      </c>
      <c r="K43" s="200">
        <f>ROUND(SUM(K38:K41),0)</f>
        <v>12500</v>
      </c>
      <c r="L43" s="201">
        <f>ROUND(SUM(L38:L41),0)</f>
        <v>12500</v>
      </c>
      <c r="M43" s="202">
        <f>FORECAST($M$15,I43:L43,$I$15:$L$15)</f>
        <v>0</v>
      </c>
      <c r="N43" s="200">
        <f>FORECAST($N$15,I43:M43,$I$15:$M$15)</f>
        <v>-7500</v>
      </c>
      <c r="O43" s="200">
        <f>FORECAST($O$15,I43:N43,$I$15:$N$15)</f>
        <v>-15000</v>
      </c>
      <c r="P43" s="200">
        <f>FORECAST($P$15,I43:O43,$I$15:$O$15)</f>
        <v>-22500</v>
      </c>
      <c r="Q43" s="111"/>
      <c r="R43" s="46"/>
      <c r="S43" s="47"/>
    </row>
    <row r="44" spans="2:19">
      <c r="B44" s="45"/>
      <c r="C44" s="46"/>
      <c r="D44" s="106"/>
      <c r="E44" s="46"/>
      <c r="F44" s="46"/>
      <c r="G44" s="46"/>
      <c r="H44" s="46"/>
      <c r="I44" s="115"/>
      <c r="J44" s="115"/>
      <c r="K44" s="115"/>
      <c r="L44" s="115"/>
      <c r="M44" s="115"/>
      <c r="N44" s="115"/>
      <c r="O44" s="115"/>
      <c r="P44" s="115"/>
      <c r="Q44" s="111"/>
      <c r="R44" s="46"/>
      <c r="S44" s="47"/>
    </row>
    <row r="45" spans="2:19">
      <c r="B45" s="45"/>
      <c r="C45" s="46"/>
      <c r="D45" s="106"/>
      <c r="E45" s="113" t="s">
        <v>115</v>
      </c>
      <c r="F45" s="46"/>
      <c r="G45" s="46"/>
      <c r="H45" s="46"/>
      <c r="I45" s="115"/>
      <c r="J45" s="115"/>
      <c r="K45" s="115"/>
      <c r="L45" s="115"/>
      <c r="M45" s="115"/>
      <c r="N45" s="115"/>
      <c r="O45" s="115"/>
      <c r="P45" s="115"/>
      <c r="Q45" s="111"/>
      <c r="R45" s="46"/>
      <c r="S45" s="47"/>
    </row>
    <row r="46" spans="2:19">
      <c r="B46" s="45"/>
      <c r="C46" s="46"/>
      <c r="D46" s="106"/>
      <c r="E46" s="113" t="s">
        <v>110</v>
      </c>
      <c r="F46" s="46"/>
      <c r="G46" s="46"/>
      <c r="H46" s="46"/>
      <c r="I46" s="115"/>
      <c r="J46" s="115"/>
      <c r="K46" s="115"/>
      <c r="L46" s="115"/>
      <c r="M46" s="115"/>
      <c r="N46" s="115"/>
      <c r="O46" s="115"/>
      <c r="P46" s="115"/>
      <c r="Q46" s="111"/>
      <c r="R46" s="46"/>
      <c r="S46" s="47"/>
    </row>
    <row r="47" spans="2:19">
      <c r="B47" s="45"/>
      <c r="C47" s="46"/>
      <c r="D47" s="106"/>
      <c r="E47" s="46"/>
      <c r="F47" s="46" t="s">
        <v>116</v>
      </c>
      <c r="G47" s="46"/>
      <c r="H47" s="46"/>
      <c r="I47" s="200">
        <f>ROUND('Balance Sheet'!I44-'Balance Sheet'!H44,0)</f>
        <v>-50000</v>
      </c>
      <c r="J47" s="200">
        <f>ROUND('Balance Sheet'!J44-'Balance Sheet'!I44,0)</f>
        <v>0</v>
      </c>
      <c r="K47" s="200">
        <f>ROUND('Balance Sheet'!K44-'Balance Sheet'!J44,0)</f>
        <v>0</v>
      </c>
      <c r="L47" s="201">
        <f>ROUND('Balance Sheet'!L44-'Balance Sheet'!K44,0)</f>
        <v>0</v>
      </c>
      <c r="M47" s="202">
        <f t="shared" ref="M47:M52" si="4">FORECAST($M$15,I47:L47,$I$15:$L$15)</f>
        <v>25000</v>
      </c>
      <c r="N47" s="200">
        <f t="shared" ref="N47:N52" si="5">FORECAST($N$15,I47:M47,$I$15:$M$15)</f>
        <v>40000</v>
      </c>
      <c r="O47" s="200">
        <f t="shared" ref="O47:O52" si="6">FORECAST($O$15,I47:N47,$I$15:$N$15)</f>
        <v>55000</v>
      </c>
      <c r="P47" s="200">
        <f t="shared" ref="P47:P52" si="7">FORECAST($P$15,I47:O47,$I$15:$O$15)</f>
        <v>70000</v>
      </c>
      <c r="Q47" s="111"/>
      <c r="R47" s="46"/>
      <c r="S47" s="47"/>
    </row>
    <row r="48" spans="2:19">
      <c r="B48" s="45"/>
      <c r="C48" s="46"/>
      <c r="D48" s="106"/>
      <c r="E48" s="46"/>
      <c r="F48" s="46" t="s">
        <v>25</v>
      </c>
      <c r="G48" s="46"/>
      <c r="H48" s="46"/>
      <c r="I48" s="200">
        <f>ROUND('Balance Sheet'!I52-'Balance Sheet'!H52,0)</f>
        <v>-100000</v>
      </c>
      <c r="J48" s="200">
        <f>ROUND('Balance Sheet'!J52-'Balance Sheet'!I52,0)</f>
        <v>0</v>
      </c>
      <c r="K48" s="200">
        <f>ROUND('Balance Sheet'!K52-'Balance Sheet'!J52,0)</f>
        <v>0</v>
      </c>
      <c r="L48" s="201">
        <f>ROUND('Balance Sheet'!L52-'Balance Sheet'!K52,0)</f>
        <v>0</v>
      </c>
      <c r="M48" s="202">
        <f t="shared" si="4"/>
        <v>50000</v>
      </c>
      <c r="N48" s="200">
        <f t="shared" si="5"/>
        <v>80000</v>
      </c>
      <c r="O48" s="200">
        <f t="shared" si="6"/>
        <v>110000</v>
      </c>
      <c r="P48" s="200">
        <f t="shared" si="7"/>
        <v>140000</v>
      </c>
      <c r="Q48" s="111"/>
      <c r="R48" s="46"/>
      <c r="S48" s="47"/>
    </row>
    <row r="49" spans="2:19">
      <c r="B49" s="45"/>
      <c r="C49" s="46"/>
      <c r="D49" s="106"/>
      <c r="E49" s="46"/>
      <c r="F49" s="46" t="s">
        <v>92</v>
      </c>
      <c r="G49" s="46"/>
      <c r="H49" s="46"/>
      <c r="I49" s="200">
        <f>ROUND('Balance Sheet'!I53-'Balance Sheet'!H53,0)</f>
        <v>-10000</v>
      </c>
      <c r="J49" s="200">
        <f>ROUND('Balance Sheet'!J53-'Balance Sheet'!I53,0)</f>
        <v>0</v>
      </c>
      <c r="K49" s="200">
        <f>ROUND('Balance Sheet'!K53-'Balance Sheet'!J53,0)</f>
        <v>0</v>
      </c>
      <c r="L49" s="201">
        <f>ROUND('Balance Sheet'!L53-'Balance Sheet'!K53,0)</f>
        <v>0</v>
      </c>
      <c r="M49" s="202">
        <f t="shared" si="4"/>
        <v>5000</v>
      </c>
      <c r="N49" s="200">
        <f t="shared" si="5"/>
        <v>8000</v>
      </c>
      <c r="O49" s="200">
        <f t="shared" si="6"/>
        <v>11000</v>
      </c>
      <c r="P49" s="200">
        <f t="shared" si="7"/>
        <v>14000</v>
      </c>
      <c r="Q49" s="111"/>
      <c r="R49" s="46"/>
      <c r="S49" s="47"/>
    </row>
    <row r="50" spans="2:19">
      <c r="B50" s="45"/>
      <c r="C50" s="46"/>
      <c r="D50" s="106"/>
      <c r="E50" s="46"/>
      <c r="F50" s="46" t="s">
        <v>93</v>
      </c>
      <c r="G50" s="46"/>
      <c r="H50" s="46"/>
      <c r="I50" s="200">
        <f>ROUND('Balance Sheet'!I54-'Balance Sheet'!H54,0)</f>
        <v>-3000</v>
      </c>
      <c r="J50" s="200">
        <f>ROUND('Balance Sheet'!J54-'Balance Sheet'!I54,0)</f>
        <v>0</v>
      </c>
      <c r="K50" s="200">
        <f>ROUND('Balance Sheet'!K54-'Balance Sheet'!J54,0)</f>
        <v>0</v>
      </c>
      <c r="L50" s="201">
        <f>ROUND('Balance Sheet'!L54-'Balance Sheet'!K54,0)</f>
        <v>0</v>
      </c>
      <c r="M50" s="202">
        <f t="shared" si="4"/>
        <v>1500</v>
      </c>
      <c r="N50" s="200">
        <f t="shared" si="5"/>
        <v>2400</v>
      </c>
      <c r="O50" s="200">
        <f t="shared" si="6"/>
        <v>3300</v>
      </c>
      <c r="P50" s="200">
        <f t="shared" si="7"/>
        <v>4200</v>
      </c>
      <c r="Q50" s="111"/>
      <c r="R50" s="46"/>
      <c r="S50" s="47"/>
    </row>
    <row r="51" spans="2:19">
      <c r="B51" s="45"/>
      <c r="C51" s="46"/>
      <c r="D51" s="106"/>
      <c r="E51" s="46"/>
      <c r="F51" s="46" t="s">
        <v>94</v>
      </c>
      <c r="G51" s="46"/>
      <c r="H51" s="46"/>
      <c r="I51" s="200">
        <f>ROUND('Balance Sheet'!I55-'Balance Sheet'!H55,0)</f>
        <v>40000</v>
      </c>
      <c r="J51" s="200">
        <f>ROUND('Balance Sheet'!J55-'Balance Sheet'!I55,0)</f>
        <v>-50000</v>
      </c>
      <c r="K51" s="200">
        <f>ROUND('Balance Sheet'!K55-'Balance Sheet'!J55,0)</f>
        <v>0</v>
      </c>
      <c r="L51" s="201">
        <f>ROUND('Balance Sheet'!L55-'Balance Sheet'!K55,0)</f>
        <v>0</v>
      </c>
      <c r="M51" s="202">
        <f t="shared" si="4"/>
        <v>-20000</v>
      </c>
      <c r="N51" s="200">
        <f t="shared" si="5"/>
        <v>-27000</v>
      </c>
      <c r="O51" s="200">
        <f t="shared" si="6"/>
        <v>-34000</v>
      </c>
      <c r="P51" s="200">
        <f t="shared" si="7"/>
        <v>-41000</v>
      </c>
      <c r="Q51" s="111"/>
      <c r="R51" s="46"/>
      <c r="S51" s="47"/>
    </row>
    <row r="52" spans="2:19">
      <c r="B52" s="45"/>
      <c r="C52" s="46"/>
      <c r="D52" s="106"/>
      <c r="E52" s="46"/>
      <c r="F52" s="46" t="str">
        <f>IF('Balance Sheet'!H68="y","Capital stock and paid in capital","Capital invested")</f>
        <v>Capital stock and paid in capital</v>
      </c>
      <c r="G52" s="46"/>
      <c r="H52" s="46"/>
      <c r="I52" s="200">
        <f>ROUND(('Balance Sheet'!I60+'Balance Sheet'!I61)-('Balance Sheet'!H60+'Balance Sheet'!H61),0)</f>
        <v>0</v>
      </c>
      <c r="J52" s="200">
        <f>ROUND(('Balance Sheet'!J60+'Balance Sheet'!J61)-('Balance Sheet'!I60+'Balance Sheet'!I61),0)</f>
        <v>0</v>
      </c>
      <c r="K52" s="200">
        <f>ROUND(('Balance Sheet'!K60+'Balance Sheet'!K61)-('Balance Sheet'!J60+'Balance Sheet'!J61),0)</f>
        <v>0</v>
      </c>
      <c r="L52" s="201">
        <f>ROUND(('Balance Sheet'!L60+'Balance Sheet'!L61)-('Balance Sheet'!K60+'Balance Sheet'!K61),0)</f>
        <v>0</v>
      </c>
      <c r="M52" s="202">
        <f t="shared" si="4"/>
        <v>0</v>
      </c>
      <c r="N52" s="200">
        <f t="shared" si="5"/>
        <v>0</v>
      </c>
      <c r="O52" s="200">
        <f t="shared" si="6"/>
        <v>0</v>
      </c>
      <c r="P52" s="200">
        <f t="shared" si="7"/>
        <v>0</v>
      </c>
      <c r="Q52" s="111"/>
      <c r="R52" s="46"/>
      <c r="S52" s="47"/>
    </row>
    <row r="53" spans="2:19">
      <c r="B53" s="45"/>
      <c r="C53" s="46"/>
      <c r="D53" s="106"/>
      <c r="E53" s="46"/>
      <c r="F53" s="46"/>
      <c r="G53" s="46"/>
      <c r="H53" s="46"/>
      <c r="I53" s="115"/>
      <c r="J53" s="115"/>
      <c r="K53" s="115"/>
      <c r="L53" s="115"/>
      <c r="M53" s="115"/>
      <c r="N53" s="115"/>
      <c r="O53" s="115"/>
      <c r="P53" s="115"/>
      <c r="Q53" s="111"/>
      <c r="R53" s="46"/>
      <c r="S53" s="47"/>
    </row>
    <row r="54" spans="2:19">
      <c r="B54" s="45"/>
      <c r="C54" s="46"/>
      <c r="D54" s="106"/>
      <c r="E54" s="46"/>
      <c r="F54" s="46"/>
      <c r="G54" s="46"/>
      <c r="H54" s="116" t="s">
        <v>117</v>
      </c>
      <c r="I54" s="200">
        <f>ROUND(SUM(I47:I52),0)</f>
        <v>-123000</v>
      </c>
      <c r="J54" s="200">
        <f>ROUND(SUM(J47:J52),0)</f>
        <v>-50000</v>
      </c>
      <c r="K54" s="200">
        <f>ROUND(SUM(K47:K52),0)</f>
        <v>0</v>
      </c>
      <c r="L54" s="201">
        <f>ROUND(SUM(L47:L52),0)</f>
        <v>0</v>
      </c>
      <c r="M54" s="202">
        <f>FORECAST($M$15,I54:L54,$I$15:$L$15)</f>
        <v>61500</v>
      </c>
      <c r="N54" s="200">
        <f>FORECAST($N$15,I54:M54,$I$15:$M$15)</f>
        <v>103400</v>
      </c>
      <c r="O54" s="200">
        <f>FORECAST($O$15,I54:N54,$I$15:$N$15)</f>
        <v>145300</v>
      </c>
      <c r="P54" s="200">
        <f>FORECAST($P$15,I54:O54,$I$15:$O$15)</f>
        <v>187200</v>
      </c>
      <c r="Q54" s="111"/>
      <c r="R54" s="46"/>
      <c r="S54" s="47"/>
    </row>
    <row r="55" spans="2:19">
      <c r="B55" s="45"/>
      <c r="C55" s="46"/>
      <c r="D55" s="106"/>
      <c r="E55" s="46"/>
      <c r="F55" s="46"/>
      <c r="G55" s="46"/>
      <c r="H55" s="46"/>
      <c r="I55" s="115"/>
      <c r="J55" s="115"/>
      <c r="K55" s="115"/>
      <c r="L55" s="115"/>
      <c r="M55" s="115"/>
      <c r="N55" s="115"/>
      <c r="O55" s="115"/>
      <c r="P55" s="115"/>
      <c r="Q55" s="111"/>
      <c r="R55" s="46"/>
      <c r="S55" s="47"/>
    </row>
    <row r="56" spans="2:19">
      <c r="B56" s="45"/>
      <c r="C56" s="46"/>
      <c r="D56" s="106"/>
      <c r="E56" s="46"/>
      <c r="F56" s="46"/>
      <c r="G56" s="46"/>
      <c r="H56" s="116" t="s">
        <v>118</v>
      </c>
      <c r="I56" s="200">
        <f>ROUND(I19+I34-I43+I54,0)</f>
        <v>-360640</v>
      </c>
      <c r="J56" s="200">
        <f>ROUND(J19+J34-J43+J54,0)</f>
        <v>198873</v>
      </c>
      <c r="K56" s="200">
        <f>ROUND(K19+K34-K43+K54,0)</f>
        <v>324963</v>
      </c>
      <c r="L56" s="201">
        <f>ROUND(L19+L34-L43+L54,0)</f>
        <v>653168</v>
      </c>
      <c r="M56" s="202">
        <f>FORECAST($M$15,I56:L56,$I$15:$L$15)</f>
        <v>995969.5</v>
      </c>
      <c r="N56" s="200">
        <f>FORECAST($N$15,I56:M56,$I$15:$M$15)</f>
        <v>1312720.9000000001</v>
      </c>
      <c r="O56" s="200">
        <f>FORECAST($O$15,I56:N56,$I$15:$N$15)</f>
        <v>1629472.3000000003</v>
      </c>
      <c r="P56" s="200">
        <f>FORECAST($P$15,I56:O56,$I$15:$O$15)</f>
        <v>1946223.7000000002</v>
      </c>
      <c r="Q56" s="111"/>
      <c r="R56" s="46"/>
      <c r="S56" s="47"/>
    </row>
    <row r="57" spans="2:19">
      <c r="B57" s="45"/>
      <c r="C57" s="46"/>
      <c r="D57" s="106"/>
      <c r="E57" s="46"/>
      <c r="F57" s="46"/>
      <c r="G57" s="46"/>
      <c r="H57" s="46"/>
      <c r="I57" s="115"/>
      <c r="J57" s="115"/>
      <c r="K57" s="115"/>
      <c r="L57" s="115"/>
      <c r="M57" s="115"/>
      <c r="N57" s="115"/>
      <c r="O57" s="115"/>
      <c r="P57" s="115"/>
      <c r="Q57" s="111"/>
      <c r="R57" s="46"/>
      <c r="S57" s="47"/>
    </row>
    <row r="58" spans="2:19">
      <c r="B58" s="45"/>
      <c r="C58" s="46"/>
      <c r="D58" s="106"/>
      <c r="E58" s="46"/>
      <c r="F58" s="46"/>
      <c r="G58" s="46"/>
      <c r="H58" s="116" t="s">
        <v>119</v>
      </c>
      <c r="I58" s="200">
        <f>ROUND('Balance Sheet'!H17,0)</f>
        <v>451000</v>
      </c>
      <c r="J58" s="200">
        <f>ROUND('Balance Sheet'!I17,0)</f>
        <v>90360</v>
      </c>
      <c r="K58" s="200">
        <f>ROUND('Balance Sheet'!J17,0)</f>
        <v>289233</v>
      </c>
      <c r="L58" s="201">
        <f>ROUND('Balance Sheet'!K17,0)</f>
        <v>614196</v>
      </c>
      <c r="M58" s="202">
        <f>FORECAST($M$15,I58:L58,$I$15:$L$15)</f>
        <v>533312.5</v>
      </c>
      <c r="N58" s="200">
        <f>FORECAST($N$15,I58:M58,$I$15:$M$15)</f>
        <v>602158.6</v>
      </c>
      <c r="O58" s="200">
        <f>FORECAST($O$15,I58:N58,$I$15:$N$15)</f>
        <v>671004.70000000007</v>
      </c>
      <c r="P58" s="200">
        <f>FORECAST($P$15,I58:O58,$I$15:$O$15)</f>
        <v>739850.8</v>
      </c>
      <c r="Q58" s="111"/>
      <c r="R58" s="46"/>
      <c r="S58" s="47"/>
    </row>
    <row r="59" spans="2:19">
      <c r="B59" s="45"/>
      <c r="C59" s="46"/>
      <c r="D59" s="106"/>
      <c r="E59" s="46"/>
      <c r="F59" s="46"/>
      <c r="G59" s="46"/>
      <c r="H59" s="46"/>
      <c r="I59" s="115"/>
      <c r="J59" s="115"/>
      <c r="K59" s="115"/>
      <c r="L59" s="115"/>
      <c r="M59" s="115"/>
      <c r="N59" s="115"/>
      <c r="O59" s="115"/>
      <c r="P59" s="115"/>
      <c r="Q59" s="111"/>
      <c r="R59" s="46"/>
      <c r="S59" s="47"/>
    </row>
    <row r="60" spans="2:19" ht="15">
      <c r="B60" s="45"/>
      <c r="C60" s="46"/>
      <c r="D60" s="106"/>
      <c r="E60" s="46"/>
      <c r="F60" s="46"/>
      <c r="G60" s="46"/>
      <c r="H60" s="117" t="s">
        <v>120</v>
      </c>
      <c r="I60" s="200">
        <f>ROUND(SUM(I56:I58),0)</f>
        <v>90360</v>
      </c>
      <c r="J60" s="200">
        <f>ROUND(SUM(J56:J58),0)</f>
        <v>289233</v>
      </c>
      <c r="K60" s="200">
        <f>ROUND(SUM(K56:K58),0)</f>
        <v>614196</v>
      </c>
      <c r="L60" s="201">
        <f>ROUND(SUM(L56:L58),0)</f>
        <v>1267364</v>
      </c>
      <c r="M60" s="202">
        <f>FORECAST($M$15,I60:L60,$I$15:$L$15)</f>
        <v>1529282</v>
      </c>
      <c r="N60" s="200">
        <f>FORECAST($N$15,I60:M60,$I$15:$M$15)</f>
        <v>1914879.5</v>
      </c>
      <c r="O60" s="200">
        <f>FORECAST($O$15,I60:N60,$I$15:$N$15)</f>
        <v>2300477</v>
      </c>
      <c r="P60" s="200">
        <f>FORECAST($P$15,I60:O60,$I$15:$O$15)</f>
        <v>2686074.5</v>
      </c>
      <c r="Q60" s="111"/>
      <c r="R60" s="46"/>
      <c r="S60" s="47"/>
    </row>
    <row r="61" spans="2:19" ht="13.5" thickBot="1">
      <c r="B61" s="45"/>
      <c r="C61" s="46"/>
      <c r="D61" s="118"/>
      <c r="E61" s="119"/>
      <c r="F61" s="119"/>
      <c r="G61" s="119"/>
      <c r="H61" s="119"/>
      <c r="I61" s="119"/>
      <c r="J61" s="119"/>
      <c r="K61" s="119"/>
      <c r="L61" s="119"/>
      <c r="M61" s="119"/>
      <c r="N61" s="119"/>
      <c r="O61" s="119"/>
      <c r="P61" s="119"/>
      <c r="Q61" s="120"/>
      <c r="R61" s="46"/>
      <c r="S61" s="47"/>
    </row>
    <row r="62" spans="2:19" ht="13.5" thickBot="1">
      <c r="B62" s="45"/>
      <c r="C62" s="46"/>
      <c r="D62" s="121"/>
      <c r="E62" s="121"/>
      <c r="F62" s="121"/>
      <c r="G62" s="121"/>
      <c r="H62" s="121"/>
      <c r="I62" s="121"/>
      <c r="J62" s="121"/>
      <c r="K62" s="121"/>
      <c r="L62" s="121"/>
      <c r="M62" s="121"/>
      <c r="N62" s="121"/>
      <c r="O62" s="121"/>
      <c r="P62" s="121"/>
      <c r="Q62" s="121"/>
      <c r="R62" s="121"/>
      <c r="S62" s="47"/>
    </row>
    <row r="63" spans="2:19" ht="3" customHeight="1" thickTop="1">
      <c r="B63" s="45"/>
      <c r="C63" s="46"/>
      <c r="D63" s="122"/>
      <c r="E63" s="122"/>
      <c r="F63" s="122"/>
      <c r="G63" s="122"/>
      <c r="H63" s="122"/>
      <c r="I63" s="122"/>
      <c r="J63" s="122"/>
      <c r="K63" s="122"/>
      <c r="L63" s="122"/>
      <c r="M63" s="122"/>
      <c r="N63" s="122"/>
      <c r="O63" s="122"/>
      <c r="P63" s="122"/>
      <c r="Q63" s="122"/>
      <c r="R63" s="121"/>
      <c r="S63" s="47"/>
    </row>
    <row r="64" spans="2:19">
      <c r="B64" s="45"/>
      <c r="C64" s="46"/>
      <c r="D64" s="121"/>
      <c r="E64" s="121"/>
      <c r="F64" s="121"/>
      <c r="G64" s="121"/>
      <c r="H64" s="121"/>
      <c r="I64" s="121"/>
      <c r="J64" s="121"/>
      <c r="K64" s="121"/>
      <c r="L64" s="121"/>
      <c r="M64" s="121"/>
      <c r="N64" s="121"/>
      <c r="O64" s="121"/>
      <c r="P64" s="121"/>
      <c r="Q64" s="121"/>
      <c r="R64" s="121"/>
      <c r="S64" s="47"/>
    </row>
    <row r="65" spans="2:19">
      <c r="B65" s="45"/>
      <c r="C65" s="46"/>
      <c r="D65" s="214"/>
      <c r="E65" s="215"/>
      <c r="F65" s="215"/>
      <c r="G65" s="215"/>
      <c r="H65" s="215"/>
      <c r="I65" s="215"/>
      <c r="J65" s="215"/>
      <c r="K65" s="215"/>
      <c r="L65" s="215"/>
      <c r="M65" s="215"/>
      <c r="N65" s="215"/>
      <c r="O65" s="215"/>
      <c r="P65" s="215"/>
      <c r="Q65" s="215"/>
      <c r="R65" s="121"/>
      <c r="S65" s="47"/>
    </row>
    <row r="66" spans="2:19">
      <c r="B66" s="45"/>
      <c r="C66" s="46"/>
      <c r="D66" s="121"/>
      <c r="E66" s="121"/>
      <c r="F66" s="121"/>
      <c r="G66" s="121"/>
      <c r="H66" s="121"/>
      <c r="I66" s="121"/>
      <c r="J66" s="121"/>
      <c r="K66" s="121"/>
      <c r="L66" s="121"/>
      <c r="M66" s="121"/>
      <c r="N66" s="121"/>
      <c r="O66" s="121"/>
      <c r="P66" s="121"/>
      <c r="Q66" s="121"/>
      <c r="R66" s="121"/>
      <c r="S66" s="47"/>
    </row>
    <row r="67" spans="2:19">
      <c r="B67" s="45"/>
      <c r="C67" s="46"/>
      <c r="D67" s="121"/>
      <c r="E67" s="121"/>
      <c r="F67" s="121"/>
      <c r="G67" s="121"/>
      <c r="H67" s="121"/>
      <c r="I67" s="121"/>
      <c r="J67" s="121"/>
      <c r="K67" s="121"/>
      <c r="L67" s="121"/>
      <c r="M67" s="121"/>
      <c r="N67" s="121"/>
      <c r="O67" s="121"/>
      <c r="P67" s="121"/>
      <c r="Q67" s="121"/>
      <c r="R67" s="121"/>
      <c r="S67" s="47"/>
    </row>
    <row r="68" spans="2:19" ht="0.95" customHeight="1" thickBot="1">
      <c r="B68" s="123"/>
      <c r="C68" s="124"/>
      <c r="D68" s="124"/>
      <c r="E68" s="124"/>
      <c r="F68" s="124"/>
      <c r="G68" s="124"/>
      <c r="H68" s="124"/>
      <c r="I68" s="124"/>
      <c r="J68" s="124"/>
      <c r="K68" s="124"/>
      <c r="L68" s="124"/>
      <c r="M68" s="124"/>
      <c r="N68" s="124"/>
      <c r="O68" s="124"/>
      <c r="P68" s="124"/>
      <c r="Q68" s="124"/>
      <c r="R68" s="124"/>
      <c r="S68" s="125"/>
    </row>
    <row r="69" spans="2:19" ht="13.5" thickTop="1"/>
  </sheetData>
  <mergeCells count="2">
    <mergeCell ref="D65:Q65"/>
    <mergeCell ref="D6:Q6"/>
  </mergeCells>
  <phoneticPr fontId="3" type="noConversion"/>
  <printOptions horizontalCentered="1"/>
  <pageMargins left="0.75" right="0.75" top="1" bottom="1" header="0.5" footer="0.5"/>
  <pageSetup scale="71"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B1:P39"/>
  <sheetViews>
    <sheetView showGridLines="0" showRowColHeaders="0" zoomScaleNormal="85" workbookViewId="0"/>
  </sheetViews>
  <sheetFormatPr defaultColWidth="10.28515625" defaultRowHeight="12.75"/>
  <cols>
    <col min="1" max="1" width="1.28515625" style="126" customWidth="1"/>
    <col min="2" max="2" width="0.42578125" style="126" customWidth="1"/>
    <col min="3" max="3" width="3.7109375" style="126" customWidth="1"/>
    <col min="4" max="14" width="10.28515625" style="126"/>
    <col min="15" max="15" width="3.7109375" style="126" customWidth="1"/>
    <col min="16" max="16" width="0.42578125" style="126" customWidth="1"/>
    <col min="17" max="16384" width="10.28515625" style="126"/>
  </cols>
  <sheetData>
    <row r="1" spans="2:16" ht="5.25" customHeight="1"/>
    <row r="2" spans="2:16" ht="13.5" thickBot="1"/>
    <row r="3" spans="2:16" ht="0.95" customHeight="1" thickTop="1">
      <c r="B3" s="127"/>
      <c r="C3" s="128"/>
      <c r="D3" s="128"/>
      <c r="E3" s="128"/>
      <c r="F3" s="128"/>
      <c r="G3" s="128"/>
      <c r="H3" s="128"/>
      <c r="I3" s="128"/>
      <c r="J3" s="128"/>
      <c r="K3" s="128"/>
      <c r="L3" s="128"/>
      <c r="M3" s="128"/>
      <c r="N3" s="128"/>
      <c r="O3" s="128"/>
      <c r="P3" s="129"/>
    </row>
    <row r="4" spans="2:16">
      <c r="B4" s="130"/>
      <c r="C4" s="131"/>
      <c r="D4" s="131"/>
      <c r="E4" s="131"/>
      <c r="F4" s="131"/>
      <c r="G4" s="131"/>
      <c r="H4" s="131"/>
      <c r="I4" s="131"/>
      <c r="J4" s="131"/>
      <c r="K4" s="131"/>
      <c r="L4" s="131"/>
      <c r="M4" s="131"/>
      <c r="N4" s="131"/>
      <c r="O4" s="131"/>
      <c r="P4" s="132"/>
    </row>
    <row r="5" spans="2:16">
      <c r="B5" s="130"/>
      <c r="C5" s="131"/>
      <c r="D5" s="131"/>
      <c r="E5" s="131"/>
      <c r="F5" s="131"/>
      <c r="G5" s="131"/>
      <c r="H5" s="131"/>
      <c r="I5" s="131"/>
      <c r="J5" s="131"/>
      <c r="K5" s="131"/>
      <c r="L5" s="131"/>
      <c r="M5" s="131"/>
      <c r="N5" s="131"/>
      <c r="O5" s="131"/>
      <c r="P5" s="132"/>
    </row>
    <row r="6" spans="2:16" ht="15.75" customHeight="1">
      <c r="B6" s="130"/>
      <c r="C6" s="131"/>
      <c r="D6" s="203" t="s">
        <v>121</v>
      </c>
      <c r="E6" s="203"/>
      <c r="F6" s="203"/>
      <c r="G6" s="203"/>
      <c r="H6" s="203"/>
      <c r="I6" s="203"/>
      <c r="J6" s="203"/>
      <c r="K6" s="203"/>
      <c r="L6" s="203"/>
      <c r="M6" s="203"/>
      <c r="N6" s="203"/>
      <c r="O6" s="131"/>
      <c r="P6" s="132"/>
    </row>
    <row r="7" spans="2:16">
      <c r="B7" s="130"/>
      <c r="C7" s="131"/>
      <c r="D7" s="131"/>
      <c r="E7" s="131"/>
      <c r="F7" s="131"/>
      <c r="G7" s="131"/>
      <c r="H7" s="131"/>
      <c r="I7" s="131"/>
      <c r="J7" s="131"/>
      <c r="K7" s="131"/>
      <c r="L7" s="131"/>
      <c r="M7" s="131"/>
      <c r="N7" s="131"/>
      <c r="O7" s="131"/>
      <c r="P7" s="132"/>
    </row>
    <row r="8" spans="2:16" ht="13.5" thickBot="1">
      <c r="B8" s="130"/>
      <c r="C8" s="131"/>
      <c r="D8" s="131"/>
      <c r="E8" s="131"/>
      <c r="F8" s="131"/>
      <c r="G8" s="131"/>
      <c r="H8" s="131"/>
      <c r="I8" s="131"/>
      <c r="J8" s="131"/>
      <c r="K8" s="131"/>
      <c r="L8" s="131"/>
      <c r="M8" s="131"/>
      <c r="N8" s="131"/>
      <c r="O8" s="131"/>
      <c r="P8" s="132"/>
    </row>
    <row r="9" spans="2:16" ht="3" customHeight="1" thickTop="1">
      <c r="B9" s="130"/>
      <c r="C9" s="131"/>
      <c r="D9" s="133"/>
      <c r="E9" s="133"/>
      <c r="F9" s="133"/>
      <c r="G9" s="133"/>
      <c r="H9" s="133"/>
      <c r="I9" s="133"/>
      <c r="J9" s="133"/>
      <c r="K9" s="133"/>
      <c r="L9" s="133"/>
      <c r="M9" s="133"/>
      <c r="N9" s="133"/>
      <c r="O9" s="131"/>
      <c r="P9" s="132"/>
    </row>
    <row r="10" spans="2:16">
      <c r="B10" s="130"/>
      <c r="C10" s="131"/>
      <c r="D10" s="131"/>
      <c r="E10" s="131"/>
      <c r="F10" s="131"/>
      <c r="G10" s="131"/>
      <c r="H10" s="131"/>
      <c r="I10" s="131"/>
      <c r="J10" s="131"/>
      <c r="K10" s="131"/>
      <c r="L10" s="131"/>
      <c r="M10" s="131"/>
      <c r="N10" s="131"/>
      <c r="O10" s="131"/>
      <c r="P10" s="132"/>
    </row>
    <row r="11" spans="2:16">
      <c r="B11" s="130"/>
      <c r="C11" s="131"/>
      <c r="D11" s="131"/>
      <c r="E11" s="131"/>
      <c r="F11" s="131"/>
      <c r="G11" s="131"/>
      <c r="H11" s="131"/>
      <c r="I11" s="131"/>
      <c r="J11" s="131"/>
      <c r="K11" s="131"/>
      <c r="L11" s="131"/>
      <c r="M11" s="131"/>
      <c r="N11" s="131"/>
      <c r="O11" s="131"/>
      <c r="P11" s="132"/>
    </row>
    <row r="12" spans="2:16">
      <c r="B12" s="134"/>
      <c r="C12" s="135"/>
      <c r="D12" s="135"/>
      <c r="E12" s="135"/>
      <c r="F12" s="135"/>
      <c r="G12" s="135"/>
      <c r="H12" s="135"/>
      <c r="I12" s="135"/>
      <c r="J12" s="135"/>
      <c r="K12" s="135"/>
      <c r="L12" s="135"/>
      <c r="M12" s="135"/>
      <c r="N12" s="135"/>
      <c r="O12" s="135"/>
      <c r="P12" s="136"/>
    </row>
    <row r="13" spans="2:16">
      <c r="B13" s="134"/>
      <c r="C13" s="135"/>
      <c r="D13" s="135"/>
      <c r="E13" s="135"/>
      <c r="F13" s="135"/>
      <c r="G13" s="135"/>
      <c r="H13" s="135"/>
      <c r="I13" s="135"/>
      <c r="J13" s="135"/>
      <c r="K13" s="135"/>
      <c r="L13" s="135"/>
      <c r="M13" s="135"/>
      <c r="N13" s="135"/>
      <c r="O13" s="135"/>
      <c r="P13" s="136"/>
    </row>
    <row r="14" spans="2:16">
      <c r="B14" s="134"/>
      <c r="C14" s="135"/>
      <c r="D14" s="135"/>
      <c r="E14" s="135"/>
      <c r="F14" s="135"/>
      <c r="G14" s="135"/>
      <c r="H14" s="135"/>
      <c r="I14" s="135"/>
      <c r="J14" s="135"/>
      <c r="K14" s="135"/>
      <c r="L14" s="135"/>
      <c r="M14" s="135"/>
      <c r="N14" s="135"/>
      <c r="O14" s="135"/>
      <c r="P14" s="136"/>
    </row>
    <row r="15" spans="2:16">
      <c r="B15" s="134"/>
      <c r="C15" s="135"/>
      <c r="D15" s="135"/>
      <c r="E15" s="135"/>
      <c r="F15" s="135"/>
      <c r="G15" s="135"/>
      <c r="H15" s="135"/>
      <c r="I15" s="135"/>
      <c r="J15" s="135"/>
      <c r="K15" s="135"/>
      <c r="L15" s="135"/>
      <c r="M15" s="135"/>
      <c r="N15" s="135"/>
      <c r="O15" s="135"/>
      <c r="P15" s="136"/>
    </row>
    <row r="16" spans="2:16">
      <c r="B16" s="134"/>
      <c r="C16" s="135"/>
      <c r="D16" s="135"/>
      <c r="E16" s="135"/>
      <c r="F16" s="135"/>
      <c r="G16" s="135"/>
      <c r="H16" s="135"/>
      <c r="I16" s="135"/>
      <c r="J16" s="135"/>
      <c r="K16" s="135"/>
      <c r="L16" s="135"/>
      <c r="M16" s="135"/>
      <c r="N16" s="135"/>
      <c r="O16" s="135"/>
      <c r="P16" s="136"/>
    </row>
    <row r="17" spans="2:16">
      <c r="B17" s="134"/>
      <c r="C17" s="135"/>
      <c r="D17" s="135"/>
      <c r="E17" s="135"/>
      <c r="F17" s="135"/>
      <c r="G17" s="135"/>
      <c r="H17" s="135"/>
      <c r="I17" s="135"/>
      <c r="J17" s="135"/>
      <c r="K17" s="135"/>
      <c r="L17" s="135"/>
      <c r="M17" s="135"/>
      <c r="N17" s="135"/>
      <c r="O17" s="135"/>
      <c r="P17" s="136"/>
    </row>
    <row r="18" spans="2:16">
      <c r="B18" s="134"/>
      <c r="C18" s="135"/>
      <c r="D18" s="135"/>
      <c r="E18" s="135"/>
      <c r="F18" s="135"/>
      <c r="G18" s="135"/>
      <c r="H18" s="135"/>
      <c r="I18" s="135"/>
      <c r="J18" s="135"/>
      <c r="K18" s="135"/>
      <c r="L18" s="135"/>
      <c r="M18" s="135"/>
      <c r="N18" s="135"/>
      <c r="O18" s="135"/>
      <c r="P18" s="136"/>
    </row>
    <row r="19" spans="2:16">
      <c r="B19" s="134"/>
      <c r="C19" s="135"/>
      <c r="D19" s="135"/>
      <c r="E19" s="135"/>
      <c r="F19" s="135"/>
      <c r="G19" s="135"/>
      <c r="H19" s="135"/>
      <c r="I19" s="135"/>
      <c r="J19" s="135"/>
      <c r="K19" s="135"/>
      <c r="L19" s="135"/>
      <c r="M19" s="135"/>
      <c r="N19" s="135"/>
      <c r="O19" s="135"/>
      <c r="P19" s="136"/>
    </row>
    <row r="20" spans="2:16">
      <c r="B20" s="134"/>
      <c r="C20" s="135"/>
      <c r="D20" s="135"/>
      <c r="E20" s="135"/>
      <c r="F20" s="135"/>
      <c r="G20" s="135"/>
      <c r="H20" s="135"/>
      <c r="I20" s="135"/>
      <c r="J20" s="135"/>
      <c r="K20" s="135"/>
      <c r="L20" s="135"/>
      <c r="M20" s="135"/>
      <c r="N20" s="135"/>
      <c r="O20" s="135"/>
      <c r="P20" s="136"/>
    </row>
    <row r="21" spans="2:16">
      <c r="B21" s="134"/>
      <c r="C21" s="135"/>
      <c r="D21" s="135"/>
      <c r="E21" s="135"/>
      <c r="F21" s="135"/>
      <c r="G21" s="135"/>
      <c r="H21" s="135"/>
      <c r="I21" s="135"/>
      <c r="J21" s="135"/>
      <c r="K21" s="135"/>
      <c r="L21" s="135"/>
      <c r="M21" s="135"/>
      <c r="N21" s="135"/>
      <c r="O21" s="135"/>
      <c r="P21" s="136"/>
    </row>
    <row r="22" spans="2:16">
      <c r="B22" s="134"/>
      <c r="C22" s="135"/>
      <c r="D22" s="135"/>
      <c r="E22" s="135"/>
      <c r="F22" s="135"/>
      <c r="G22" s="135"/>
      <c r="H22" s="135"/>
      <c r="I22" s="135"/>
      <c r="J22" s="135"/>
      <c r="K22" s="135"/>
      <c r="L22" s="135"/>
      <c r="M22" s="135"/>
      <c r="N22" s="135"/>
      <c r="O22" s="135"/>
      <c r="P22" s="136"/>
    </row>
    <row r="23" spans="2:16">
      <c r="B23" s="134"/>
      <c r="C23" s="135"/>
      <c r="D23" s="135"/>
      <c r="E23" s="135"/>
      <c r="F23" s="135"/>
      <c r="G23" s="135"/>
      <c r="H23" s="135"/>
      <c r="I23" s="135"/>
      <c r="J23" s="135"/>
      <c r="K23" s="135"/>
      <c r="L23" s="135"/>
      <c r="M23" s="135"/>
      <c r="N23" s="135"/>
      <c r="O23" s="135"/>
      <c r="P23" s="136"/>
    </row>
    <row r="24" spans="2:16">
      <c r="B24" s="134"/>
      <c r="C24" s="135"/>
      <c r="D24" s="135"/>
      <c r="E24" s="135"/>
      <c r="F24" s="135"/>
      <c r="G24" s="135"/>
      <c r="H24" s="135"/>
      <c r="I24" s="135"/>
      <c r="J24" s="135"/>
      <c r="K24" s="135"/>
      <c r="L24" s="135"/>
      <c r="M24" s="135"/>
      <c r="N24" s="135"/>
      <c r="O24" s="135"/>
      <c r="P24" s="136"/>
    </row>
    <row r="25" spans="2:16">
      <c r="B25" s="134"/>
      <c r="C25" s="135"/>
      <c r="D25" s="135"/>
      <c r="E25" s="135"/>
      <c r="F25" s="135"/>
      <c r="G25" s="135"/>
      <c r="H25" s="135"/>
      <c r="I25" s="135"/>
      <c r="J25" s="135"/>
      <c r="K25" s="135"/>
      <c r="L25" s="135"/>
      <c r="M25" s="135"/>
      <c r="N25" s="135"/>
      <c r="O25" s="135"/>
      <c r="P25" s="136"/>
    </row>
    <row r="26" spans="2:16">
      <c r="B26" s="134"/>
      <c r="C26" s="135"/>
      <c r="D26" s="135"/>
      <c r="E26" s="135"/>
      <c r="F26" s="135"/>
      <c r="G26" s="135"/>
      <c r="H26" s="135"/>
      <c r="I26" s="135"/>
      <c r="J26" s="135"/>
      <c r="K26" s="135"/>
      <c r="L26" s="135"/>
      <c r="M26" s="135"/>
      <c r="N26" s="135"/>
      <c r="O26" s="135"/>
      <c r="P26" s="136"/>
    </row>
    <row r="27" spans="2:16">
      <c r="B27" s="134"/>
      <c r="C27" s="135"/>
      <c r="D27" s="135"/>
      <c r="E27" s="135"/>
      <c r="F27" s="135"/>
      <c r="G27" s="135"/>
      <c r="H27" s="135"/>
      <c r="I27" s="135"/>
      <c r="J27" s="135"/>
      <c r="K27" s="135"/>
      <c r="L27" s="135"/>
      <c r="M27" s="135"/>
      <c r="N27" s="135"/>
      <c r="O27" s="135"/>
      <c r="P27" s="136"/>
    </row>
    <row r="28" spans="2:16">
      <c r="B28" s="134"/>
      <c r="C28" s="135"/>
      <c r="D28" s="135"/>
      <c r="E28" s="135"/>
      <c r="F28" s="135"/>
      <c r="G28" s="135"/>
      <c r="H28" s="135"/>
      <c r="I28" s="135"/>
      <c r="J28" s="135"/>
      <c r="K28" s="135"/>
      <c r="L28" s="135"/>
      <c r="M28" s="135"/>
      <c r="N28" s="135"/>
      <c r="O28" s="135"/>
      <c r="P28" s="136"/>
    </row>
    <row r="29" spans="2:16">
      <c r="B29" s="134"/>
      <c r="C29" s="135"/>
      <c r="D29" s="135"/>
      <c r="E29" s="135"/>
      <c r="F29" s="135"/>
      <c r="G29" s="135"/>
      <c r="H29" s="135"/>
      <c r="I29" s="135"/>
      <c r="J29" s="135"/>
      <c r="K29" s="135"/>
      <c r="L29" s="135"/>
      <c r="M29" s="135"/>
      <c r="N29" s="135"/>
      <c r="O29" s="135"/>
      <c r="P29" s="136"/>
    </row>
    <row r="30" spans="2:16">
      <c r="B30" s="134"/>
      <c r="C30" s="135"/>
      <c r="D30" s="135"/>
      <c r="E30" s="135"/>
      <c r="F30" s="135"/>
      <c r="G30" s="135"/>
      <c r="H30" s="135"/>
      <c r="I30" s="135"/>
      <c r="J30" s="135"/>
      <c r="K30" s="135"/>
      <c r="L30" s="135"/>
      <c r="M30" s="135"/>
      <c r="N30" s="135"/>
      <c r="O30" s="135"/>
      <c r="P30" s="136"/>
    </row>
    <row r="31" spans="2:16">
      <c r="B31" s="134"/>
      <c r="C31" s="135"/>
      <c r="D31" s="135"/>
      <c r="E31" s="135"/>
      <c r="F31" s="135"/>
      <c r="G31" s="135"/>
      <c r="H31" s="135"/>
      <c r="I31" s="135"/>
      <c r="J31" s="135"/>
      <c r="K31" s="135"/>
      <c r="L31" s="135"/>
      <c r="M31" s="135"/>
      <c r="N31" s="135"/>
      <c r="O31" s="135"/>
      <c r="P31" s="136"/>
    </row>
    <row r="32" spans="2:16" ht="13.5" thickBot="1">
      <c r="B32" s="134"/>
      <c r="C32" s="135"/>
      <c r="D32" s="135"/>
      <c r="E32" s="135"/>
      <c r="F32" s="135"/>
      <c r="G32" s="135"/>
      <c r="H32" s="135"/>
      <c r="I32" s="135"/>
      <c r="J32" s="135"/>
      <c r="K32" s="135"/>
      <c r="L32" s="135"/>
      <c r="M32" s="135"/>
      <c r="N32" s="135"/>
      <c r="O32" s="135"/>
      <c r="P32" s="136"/>
    </row>
    <row r="33" spans="2:16" ht="3" customHeight="1" thickTop="1">
      <c r="B33" s="134"/>
      <c r="C33" s="135"/>
      <c r="D33" s="137"/>
      <c r="E33" s="137"/>
      <c r="F33" s="137"/>
      <c r="G33" s="137"/>
      <c r="H33" s="137"/>
      <c r="I33" s="137"/>
      <c r="J33" s="137"/>
      <c r="K33" s="137"/>
      <c r="L33" s="137"/>
      <c r="M33" s="137"/>
      <c r="N33" s="137"/>
      <c r="O33" s="135"/>
      <c r="P33" s="136"/>
    </row>
    <row r="34" spans="2:16">
      <c r="B34" s="134"/>
      <c r="C34" s="135"/>
      <c r="D34" s="135"/>
      <c r="E34" s="135"/>
      <c r="F34" s="135"/>
      <c r="G34" s="135"/>
      <c r="H34" s="135"/>
      <c r="I34" s="135"/>
      <c r="J34" s="135"/>
      <c r="K34" s="135"/>
      <c r="L34" s="135"/>
      <c r="M34" s="135"/>
      <c r="N34" s="135"/>
      <c r="O34" s="135"/>
      <c r="P34" s="136"/>
    </row>
    <row r="35" spans="2:16">
      <c r="B35" s="134"/>
      <c r="C35" s="135"/>
      <c r="D35" s="214"/>
      <c r="E35" s="215"/>
      <c r="F35" s="215"/>
      <c r="G35" s="215"/>
      <c r="H35" s="215"/>
      <c r="I35" s="215"/>
      <c r="J35" s="215"/>
      <c r="K35" s="215"/>
      <c r="L35" s="215"/>
      <c r="M35" s="215"/>
      <c r="N35" s="215"/>
      <c r="O35" s="135"/>
      <c r="P35" s="136"/>
    </row>
    <row r="36" spans="2:16">
      <c r="B36" s="134"/>
      <c r="C36" s="135"/>
      <c r="D36" s="135"/>
      <c r="E36" s="135"/>
      <c r="F36" s="135"/>
      <c r="G36" s="135"/>
      <c r="H36" s="135"/>
      <c r="I36" s="135"/>
      <c r="J36" s="135"/>
      <c r="K36" s="135"/>
      <c r="L36" s="135"/>
      <c r="M36" s="135"/>
      <c r="N36" s="135"/>
      <c r="O36" s="135"/>
      <c r="P36" s="136"/>
    </row>
    <row r="37" spans="2:16">
      <c r="B37" s="134"/>
      <c r="C37" s="135"/>
      <c r="D37" s="135"/>
      <c r="E37" s="135"/>
      <c r="F37" s="135"/>
      <c r="G37" s="135"/>
      <c r="H37" s="135"/>
      <c r="I37" s="135"/>
      <c r="J37" s="135"/>
      <c r="K37" s="135"/>
      <c r="L37" s="135"/>
      <c r="M37" s="135"/>
      <c r="N37" s="135"/>
      <c r="O37" s="135"/>
      <c r="P37" s="136"/>
    </row>
    <row r="38" spans="2:16" ht="0.95" customHeight="1" thickBot="1">
      <c r="B38" s="138"/>
      <c r="C38" s="139"/>
      <c r="D38" s="139"/>
      <c r="E38" s="139"/>
      <c r="F38" s="139"/>
      <c r="G38" s="139"/>
      <c r="H38" s="139"/>
      <c r="I38" s="139"/>
      <c r="J38" s="139"/>
      <c r="K38" s="139"/>
      <c r="L38" s="139"/>
      <c r="M38" s="139"/>
      <c r="N38" s="139"/>
      <c r="O38" s="139"/>
      <c r="P38" s="140"/>
    </row>
    <row r="39" spans="2:16" ht="13.5" thickTop="1"/>
  </sheetData>
  <mergeCells count="1">
    <mergeCell ref="D35:N35"/>
  </mergeCells>
  <phoneticPr fontId="3" type="noConversion"/>
  <printOptions horizontalCentered="1" gridLinesSet="0"/>
  <pageMargins left="0.75" right="0.75" top="1" bottom="1" header="0.5" footer="0.5"/>
  <pageSetup scale="71"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B1:P39"/>
  <sheetViews>
    <sheetView showGridLines="0" showRowColHeaders="0" defaultGridColor="0" colorId="8" zoomScaleNormal="83" workbookViewId="0"/>
  </sheetViews>
  <sheetFormatPr defaultColWidth="10.28515625" defaultRowHeight="12.75"/>
  <cols>
    <col min="1" max="1" width="1.42578125" style="126" customWidth="1"/>
    <col min="2" max="2" width="0.42578125" style="126" customWidth="1"/>
    <col min="3" max="3" width="3.7109375" style="126" customWidth="1"/>
    <col min="4" max="14" width="10.28515625" style="126"/>
    <col min="15" max="15" width="3.7109375" style="126" customWidth="1"/>
    <col min="16" max="16" width="0.42578125" style="126" customWidth="1"/>
    <col min="17" max="16384" width="10.28515625" style="126"/>
  </cols>
  <sheetData>
    <row r="1" spans="2:16" ht="5.25" customHeight="1"/>
    <row r="2" spans="2:16" ht="13.5" thickBot="1"/>
    <row r="3" spans="2:16" ht="0.95" customHeight="1" thickTop="1">
      <c r="B3" s="127"/>
      <c r="C3" s="128"/>
      <c r="D3" s="128"/>
      <c r="E3" s="128"/>
      <c r="F3" s="128"/>
      <c r="G3" s="128"/>
      <c r="H3" s="128"/>
      <c r="I3" s="128"/>
      <c r="J3" s="128"/>
      <c r="K3" s="128"/>
      <c r="L3" s="128"/>
      <c r="M3" s="128"/>
      <c r="N3" s="128"/>
      <c r="O3" s="128"/>
      <c r="P3" s="129"/>
    </row>
    <row r="4" spans="2:16">
      <c r="B4" s="130"/>
      <c r="C4" s="131"/>
      <c r="D4" s="131"/>
      <c r="E4" s="131"/>
      <c r="F4" s="131"/>
      <c r="G4" s="131"/>
      <c r="H4" s="131"/>
      <c r="I4" s="131"/>
      <c r="J4" s="131"/>
      <c r="K4" s="131"/>
      <c r="L4" s="131"/>
      <c r="M4" s="131"/>
      <c r="N4" s="131"/>
      <c r="O4" s="131"/>
      <c r="P4" s="132"/>
    </row>
    <row r="5" spans="2:16">
      <c r="B5" s="130"/>
      <c r="C5" s="131"/>
      <c r="D5" s="131"/>
      <c r="E5" s="131"/>
      <c r="F5" s="131"/>
      <c r="G5" s="131"/>
      <c r="H5" s="131"/>
      <c r="I5" s="131"/>
      <c r="J5" s="131"/>
      <c r="K5" s="131"/>
      <c r="L5" s="131"/>
      <c r="M5" s="131"/>
      <c r="N5" s="131"/>
      <c r="O5" s="131"/>
      <c r="P5" s="132"/>
    </row>
    <row r="6" spans="2:16">
      <c r="B6" s="130"/>
      <c r="C6" s="131"/>
      <c r="D6" s="204" t="s">
        <v>122</v>
      </c>
      <c r="E6" s="204"/>
      <c r="F6" s="204"/>
      <c r="G6" s="204"/>
      <c r="H6" s="204"/>
      <c r="I6" s="204"/>
      <c r="J6" s="204"/>
      <c r="K6" s="204"/>
      <c r="L6" s="204"/>
      <c r="M6" s="204"/>
      <c r="N6" s="204"/>
      <c r="O6" s="131"/>
      <c r="P6" s="132"/>
    </row>
    <row r="7" spans="2:16">
      <c r="B7" s="130"/>
      <c r="C7" s="131"/>
      <c r="D7" s="131"/>
      <c r="E7" s="131"/>
      <c r="F7" s="131"/>
      <c r="G7" s="131"/>
      <c r="H7" s="131"/>
      <c r="I7" s="131"/>
      <c r="J7" s="131"/>
      <c r="K7" s="131"/>
      <c r="L7" s="131"/>
      <c r="M7" s="131"/>
      <c r="N7" s="131"/>
      <c r="O7" s="131"/>
      <c r="P7" s="132"/>
    </row>
    <row r="8" spans="2:16" ht="13.5" thickBot="1">
      <c r="B8" s="130"/>
      <c r="C8" s="131"/>
      <c r="D8" s="131"/>
      <c r="E8" s="131"/>
      <c r="F8" s="131"/>
      <c r="G8" s="131"/>
      <c r="H8" s="131"/>
      <c r="I8" s="131"/>
      <c r="J8" s="131"/>
      <c r="K8" s="131"/>
      <c r="L8" s="131"/>
      <c r="M8" s="131"/>
      <c r="N8" s="131"/>
      <c r="O8" s="131"/>
      <c r="P8" s="132"/>
    </row>
    <row r="9" spans="2:16" ht="3" customHeight="1" thickTop="1">
      <c r="B9" s="130"/>
      <c r="C9" s="131"/>
      <c r="D9" s="133"/>
      <c r="E9" s="133"/>
      <c r="F9" s="133"/>
      <c r="G9" s="133"/>
      <c r="H9" s="133"/>
      <c r="I9" s="133"/>
      <c r="J9" s="133"/>
      <c r="K9" s="133"/>
      <c r="L9" s="133"/>
      <c r="M9" s="133"/>
      <c r="N9" s="133"/>
      <c r="O9" s="131"/>
      <c r="P9" s="132"/>
    </row>
    <row r="10" spans="2:16">
      <c r="B10" s="130"/>
      <c r="C10" s="131"/>
      <c r="D10" s="131"/>
      <c r="E10" s="131"/>
      <c r="F10" s="131"/>
      <c r="G10" s="131"/>
      <c r="H10" s="131"/>
      <c r="I10" s="131"/>
      <c r="J10" s="131"/>
      <c r="K10" s="131"/>
      <c r="L10" s="131"/>
      <c r="M10" s="131"/>
      <c r="N10" s="131"/>
      <c r="O10" s="131"/>
      <c r="P10" s="132"/>
    </row>
    <row r="11" spans="2:16">
      <c r="B11" s="130"/>
      <c r="C11" s="131"/>
      <c r="D11" s="131"/>
      <c r="E11" s="131"/>
      <c r="F11" s="131"/>
      <c r="G11" s="131"/>
      <c r="H11" s="131"/>
      <c r="I11" s="131"/>
      <c r="J11" s="131"/>
      <c r="K11" s="131"/>
      <c r="L11" s="131"/>
      <c r="M11" s="131"/>
      <c r="N11" s="131"/>
      <c r="O11" s="131"/>
      <c r="P11" s="132"/>
    </row>
    <row r="12" spans="2:16">
      <c r="B12" s="134"/>
      <c r="C12" s="135"/>
      <c r="D12" s="135"/>
      <c r="E12" s="135"/>
      <c r="F12" s="135"/>
      <c r="G12" s="135"/>
      <c r="H12" s="135"/>
      <c r="I12" s="135"/>
      <c r="J12" s="135"/>
      <c r="K12" s="135"/>
      <c r="L12" s="135"/>
      <c r="M12" s="135"/>
      <c r="N12" s="135"/>
      <c r="O12" s="135"/>
      <c r="P12" s="136"/>
    </row>
    <row r="13" spans="2:16">
      <c r="B13" s="134"/>
      <c r="C13" s="135"/>
      <c r="D13" s="135"/>
      <c r="E13" s="135"/>
      <c r="F13" s="135"/>
      <c r="G13" s="135"/>
      <c r="H13" s="135"/>
      <c r="I13" s="135"/>
      <c r="J13" s="135"/>
      <c r="K13" s="135"/>
      <c r="L13" s="135"/>
      <c r="M13" s="135"/>
      <c r="N13" s="135"/>
      <c r="O13" s="135"/>
      <c r="P13" s="136"/>
    </row>
    <row r="14" spans="2:16">
      <c r="B14" s="134"/>
      <c r="C14" s="135"/>
      <c r="D14" s="135"/>
      <c r="E14" s="135"/>
      <c r="F14" s="135"/>
      <c r="G14" s="135"/>
      <c r="H14" s="135"/>
      <c r="I14" s="135"/>
      <c r="J14" s="135"/>
      <c r="K14" s="135"/>
      <c r="L14" s="135"/>
      <c r="M14" s="135"/>
      <c r="N14" s="135"/>
      <c r="O14" s="135"/>
      <c r="P14" s="136"/>
    </row>
    <row r="15" spans="2:16">
      <c r="B15" s="134"/>
      <c r="C15" s="135"/>
      <c r="D15" s="135"/>
      <c r="E15" s="135"/>
      <c r="F15" s="135"/>
      <c r="G15" s="135"/>
      <c r="H15" s="135"/>
      <c r="I15" s="135"/>
      <c r="J15" s="135"/>
      <c r="K15" s="135"/>
      <c r="L15" s="135"/>
      <c r="M15" s="135"/>
      <c r="N15" s="135"/>
      <c r="O15" s="135"/>
      <c r="P15" s="136"/>
    </row>
    <row r="16" spans="2:16">
      <c r="B16" s="134"/>
      <c r="C16" s="135"/>
      <c r="D16" s="135"/>
      <c r="E16" s="135"/>
      <c r="F16" s="135"/>
      <c r="G16" s="135"/>
      <c r="H16" s="135"/>
      <c r="I16" s="135"/>
      <c r="J16" s="135"/>
      <c r="K16" s="135"/>
      <c r="L16" s="135"/>
      <c r="M16" s="135"/>
      <c r="N16" s="135"/>
      <c r="O16" s="135"/>
      <c r="P16" s="136"/>
    </row>
    <row r="17" spans="2:16">
      <c r="B17" s="134"/>
      <c r="C17" s="135"/>
      <c r="D17" s="135"/>
      <c r="E17" s="135"/>
      <c r="F17" s="135"/>
      <c r="G17" s="135"/>
      <c r="H17" s="135"/>
      <c r="I17" s="135"/>
      <c r="J17" s="135"/>
      <c r="K17" s="135"/>
      <c r="L17" s="135"/>
      <c r="M17" s="135"/>
      <c r="N17" s="135"/>
      <c r="O17" s="135"/>
      <c r="P17" s="136"/>
    </row>
    <row r="18" spans="2:16">
      <c r="B18" s="134"/>
      <c r="C18" s="135"/>
      <c r="D18" s="135"/>
      <c r="E18" s="135"/>
      <c r="F18" s="135"/>
      <c r="G18" s="135"/>
      <c r="H18" s="135"/>
      <c r="I18" s="135"/>
      <c r="J18" s="135"/>
      <c r="K18" s="135"/>
      <c r="L18" s="135"/>
      <c r="M18" s="135"/>
      <c r="N18" s="135"/>
      <c r="O18" s="135"/>
      <c r="P18" s="136"/>
    </row>
    <row r="19" spans="2:16">
      <c r="B19" s="134"/>
      <c r="C19" s="135"/>
      <c r="D19" s="135"/>
      <c r="E19" s="135"/>
      <c r="F19" s="135"/>
      <c r="G19" s="135"/>
      <c r="H19" s="135"/>
      <c r="I19" s="135"/>
      <c r="J19" s="135"/>
      <c r="K19" s="135"/>
      <c r="L19" s="135"/>
      <c r="M19" s="135"/>
      <c r="N19" s="135"/>
      <c r="O19" s="135"/>
      <c r="P19" s="136"/>
    </row>
    <row r="20" spans="2:16">
      <c r="B20" s="134"/>
      <c r="C20" s="135"/>
      <c r="D20" s="135"/>
      <c r="E20" s="135"/>
      <c r="F20" s="135"/>
      <c r="G20" s="135"/>
      <c r="H20" s="135"/>
      <c r="I20" s="135"/>
      <c r="J20" s="135"/>
      <c r="K20" s="135"/>
      <c r="L20" s="135"/>
      <c r="M20" s="135"/>
      <c r="N20" s="135"/>
      <c r="O20" s="135"/>
      <c r="P20" s="136"/>
    </row>
    <row r="21" spans="2:16">
      <c r="B21" s="134"/>
      <c r="C21" s="135"/>
      <c r="D21" s="135"/>
      <c r="E21" s="135"/>
      <c r="F21" s="135"/>
      <c r="G21" s="135"/>
      <c r="H21" s="135"/>
      <c r="I21" s="135"/>
      <c r="J21" s="135"/>
      <c r="K21" s="135"/>
      <c r="L21" s="135"/>
      <c r="M21" s="135"/>
      <c r="N21" s="135"/>
      <c r="O21" s="135"/>
      <c r="P21" s="136"/>
    </row>
    <row r="22" spans="2:16">
      <c r="B22" s="134"/>
      <c r="C22" s="135"/>
      <c r="D22" s="135"/>
      <c r="E22" s="135"/>
      <c r="F22" s="135"/>
      <c r="G22" s="135"/>
      <c r="H22" s="135"/>
      <c r="I22" s="135"/>
      <c r="J22" s="135"/>
      <c r="K22" s="135"/>
      <c r="L22" s="135"/>
      <c r="M22" s="135"/>
      <c r="N22" s="135"/>
      <c r="O22" s="135"/>
      <c r="P22" s="136"/>
    </row>
    <row r="23" spans="2:16">
      <c r="B23" s="134"/>
      <c r="C23" s="135"/>
      <c r="D23" s="135"/>
      <c r="E23" s="135"/>
      <c r="F23" s="135"/>
      <c r="G23" s="135"/>
      <c r="H23" s="135"/>
      <c r="I23" s="135"/>
      <c r="J23" s="135"/>
      <c r="K23" s="135"/>
      <c r="L23" s="135"/>
      <c r="M23" s="135"/>
      <c r="N23" s="135"/>
      <c r="O23" s="135"/>
      <c r="P23" s="136"/>
    </row>
    <row r="24" spans="2:16">
      <c r="B24" s="134"/>
      <c r="C24" s="135"/>
      <c r="D24" s="135"/>
      <c r="E24" s="135"/>
      <c r="F24" s="135"/>
      <c r="G24" s="135"/>
      <c r="H24" s="135"/>
      <c r="I24" s="135"/>
      <c r="J24" s="135"/>
      <c r="K24" s="135"/>
      <c r="L24" s="135"/>
      <c r="M24" s="135"/>
      <c r="N24" s="135"/>
      <c r="O24" s="135"/>
      <c r="P24" s="136"/>
    </row>
    <row r="25" spans="2:16">
      <c r="B25" s="134"/>
      <c r="C25" s="135"/>
      <c r="D25" s="135"/>
      <c r="E25" s="135"/>
      <c r="F25" s="135"/>
      <c r="G25" s="135"/>
      <c r="H25" s="135"/>
      <c r="I25" s="135"/>
      <c r="J25" s="135"/>
      <c r="K25" s="135"/>
      <c r="L25" s="135"/>
      <c r="M25" s="135"/>
      <c r="N25" s="135"/>
      <c r="O25" s="135"/>
      <c r="P25" s="136"/>
    </row>
    <row r="26" spans="2:16">
      <c r="B26" s="134"/>
      <c r="C26" s="135"/>
      <c r="D26" s="135"/>
      <c r="E26" s="135"/>
      <c r="F26" s="135"/>
      <c r="G26" s="135"/>
      <c r="H26" s="135"/>
      <c r="I26" s="135"/>
      <c r="J26" s="135"/>
      <c r="K26" s="135"/>
      <c r="L26" s="135"/>
      <c r="M26" s="135"/>
      <c r="N26" s="135"/>
      <c r="O26" s="135"/>
      <c r="P26" s="136"/>
    </row>
    <row r="27" spans="2:16">
      <c r="B27" s="134"/>
      <c r="C27" s="135"/>
      <c r="D27" s="135"/>
      <c r="E27" s="135"/>
      <c r="F27" s="135"/>
      <c r="G27" s="135"/>
      <c r="H27" s="135"/>
      <c r="I27" s="135"/>
      <c r="J27" s="135"/>
      <c r="K27" s="135"/>
      <c r="L27" s="135"/>
      <c r="M27" s="135"/>
      <c r="N27" s="135"/>
      <c r="O27" s="135"/>
      <c r="P27" s="136"/>
    </row>
    <row r="28" spans="2:16">
      <c r="B28" s="134"/>
      <c r="C28" s="135"/>
      <c r="D28" s="135"/>
      <c r="E28" s="135"/>
      <c r="F28" s="135"/>
      <c r="G28" s="135"/>
      <c r="H28" s="135"/>
      <c r="I28" s="135"/>
      <c r="J28" s="135"/>
      <c r="K28" s="135"/>
      <c r="L28" s="135"/>
      <c r="M28" s="135"/>
      <c r="N28" s="135"/>
      <c r="O28" s="135"/>
      <c r="P28" s="136"/>
    </row>
    <row r="29" spans="2:16">
      <c r="B29" s="134"/>
      <c r="C29" s="135"/>
      <c r="D29" s="135"/>
      <c r="E29" s="135"/>
      <c r="F29" s="135"/>
      <c r="G29" s="135"/>
      <c r="H29" s="135"/>
      <c r="I29" s="135"/>
      <c r="J29" s="135"/>
      <c r="K29" s="135"/>
      <c r="L29" s="135"/>
      <c r="M29" s="135"/>
      <c r="N29" s="135"/>
      <c r="O29" s="135"/>
      <c r="P29" s="136"/>
    </row>
    <row r="30" spans="2:16">
      <c r="B30" s="134"/>
      <c r="C30" s="135"/>
      <c r="D30" s="135"/>
      <c r="E30" s="135"/>
      <c r="F30" s="135"/>
      <c r="G30" s="135"/>
      <c r="H30" s="135"/>
      <c r="I30" s="135"/>
      <c r="J30" s="135"/>
      <c r="K30" s="135"/>
      <c r="L30" s="135"/>
      <c r="M30" s="135"/>
      <c r="N30" s="135"/>
      <c r="O30" s="135"/>
      <c r="P30" s="136"/>
    </row>
    <row r="31" spans="2:16">
      <c r="B31" s="134"/>
      <c r="C31" s="135"/>
      <c r="D31" s="135"/>
      <c r="E31" s="135"/>
      <c r="F31" s="135"/>
      <c r="G31" s="135"/>
      <c r="H31" s="135"/>
      <c r="I31" s="135"/>
      <c r="J31" s="135"/>
      <c r="K31" s="135"/>
      <c r="L31" s="135"/>
      <c r="M31" s="135"/>
      <c r="N31" s="135"/>
      <c r="O31" s="135"/>
      <c r="P31" s="136"/>
    </row>
    <row r="32" spans="2:16" ht="13.5" thickBot="1">
      <c r="B32" s="134"/>
      <c r="C32" s="135"/>
      <c r="D32" s="135"/>
      <c r="E32" s="135"/>
      <c r="F32" s="135"/>
      <c r="G32" s="135"/>
      <c r="H32" s="135"/>
      <c r="I32" s="135"/>
      <c r="J32" s="135"/>
      <c r="K32" s="135"/>
      <c r="L32" s="135"/>
      <c r="M32" s="135"/>
      <c r="N32" s="135"/>
      <c r="O32" s="135"/>
      <c r="P32" s="136"/>
    </row>
    <row r="33" spans="2:16" ht="3" customHeight="1" thickTop="1">
      <c r="B33" s="134"/>
      <c r="C33" s="135"/>
      <c r="D33" s="137"/>
      <c r="E33" s="137"/>
      <c r="F33" s="137"/>
      <c r="G33" s="137"/>
      <c r="H33" s="137"/>
      <c r="I33" s="137"/>
      <c r="J33" s="137"/>
      <c r="K33" s="137"/>
      <c r="L33" s="137"/>
      <c r="M33" s="137"/>
      <c r="N33" s="137"/>
      <c r="O33" s="135"/>
      <c r="P33" s="136"/>
    </row>
    <row r="34" spans="2:16">
      <c r="B34" s="134"/>
      <c r="C34" s="135"/>
      <c r="D34" s="135"/>
      <c r="E34" s="135"/>
      <c r="F34" s="135"/>
      <c r="G34" s="135"/>
      <c r="H34" s="135"/>
      <c r="I34" s="135"/>
      <c r="J34" s="135"/>
      <c r="K34" s="135"/>
      <c r="L34" s="135"/>
      <c r="M34" s="135"/>
      <c r="N34" s="135"/>
      <c r="O34" s="135"/>
      <c r="P34" s="136"/>
    </row>
    <row r="35" spans="2:16">
      <c r="B35" s="134"/>
      <c r="C35" s="135"/>
      <c r="D35" s="214"/>
      <c r="E35" s="215"/>
      <c r="F35" s="215"/>
      <c r="G35" s="215"/>
      <c r="H35" s="215"/>
      <c r="I35" s="215"/>
      <c r="J35" s="215"/>
      <c r="K35" s="215"/>
      <c r="L35" s="215"/>
      <c r="M35" s="215"/>
      <c r="N35" s="215"/>
      <c r="O35" s="135"/>
      <c r="P35" s="136"/>
    </row>
    <row r="36" spans="2:16">
      <c r="B36" s="134"/>
      <c r="C36" s="135"/>
      <c r="D36" s="135"/>
      <c r="E36" s="135"/>
      <c r="F36" s="135"/>
      <c r="G36" s="135"/>
      <c r="H36" s="135"/>
      <c r="I36" s="135"/>
      <c r="J36" s="135"/>
      <c r="K36" s="135"/>
      <c r="L36" s="135"/>
      <c r="M36" s="135"/>
      <c r="N36" s="135"/>
      <c r="O36" s="135"/>
      <c r="P36" s="136"/>
    </row>
    <row r="37" spans="2:16">
      <c r="B37" s="134"/>
      <c r="C37" s="135"/>
      <c r="D37" s="135"/>
      <c r="E37" s="135"/>
      <c r="F37" s="135"/>
      <c r="G37" s="135"/>
      <c r="H37" s="135"/>
      <c r="I37" s="135"/>
      <c r="J37" s="135"/>
      <c r="K37" s="135"/>
      <c r="L37" s="135"/>
      <c r="M37" s="135"/>
      <c r="N37" s="135"/>
      <c r="O37" s="135"/>
      <c r="P37" s="136"/>
    </row>
    <row r="38" spans="2:16" ht="0.95" customHeight="1" thickBot="1">
      <c r="B38" s="138"/>
      <c r="C38" s="139"/>
      <c r="D38" s="139"/>
      <c r="E38" s="139"/>
      <c r="F38" s="139"/>
      <c r="G38" s="139"/>
      <c r="H38" s="139"/>
      <c r="I38" s="139"/>
      <c r="J38" s="139"/>
      <c r="K38" s="139"/>
      <c r="L38" s="139"/>
      <c r="M38" s="139"/>
      <c r="N38" s="139"/>
      <c r="O38" s="139"/>
      <c r="P38" s="140"/>
    </row>
    <row r="39" spans="2:16" ht="13.5" thickTop="1"/>
  </sheetData>
  <mergeCells count="1">
    <mergeCell ref="D35:N35"/>
  </mergeCells>
  <phoneticPr fontId="3" type="noConversion"/>
  <printOptions horizontalCentered="1"/>
  <pageMargins left="0.75" right="0.75" top="1" bottom="1" header="0.5" footer="0.5"/>
  <pageSetup scale="7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autoPageBreaks="0"/>
  </sheetPr>
  <dimension ref="B1:P40"/>
  <sheetViews>
    <sheetView showGridLines="0" showRowColHeaders="0" defaultGridColor="0" colorId="8" zoomScaleNormal="85" workbookViewId="0"/>
  </sheetViews>
  <sheetFormatPr defaultColWidth="10.28515625" defaultRowHeight="12.75"/>
  <cols>
    <col min="1" max="1" width="1.28515625" style="126" customWidth="1"/>
    <col min="2" max="2" width="0.42578125" style="126" customWidth="1"/>
    <col min="3" max="3" width="3.7109375" style="126" customWidth="1"/>
    <col min="4" max="14" width="10.28515625" style="126"/>
    <col min="15" max="15" width="3.7109375" style="126" customWidth="1"/>
    <col min="16" max="16" width="0.42578125" style="126" customWidth="1"/>
    <col min="17" max="16384" width="10.28515625" style="126"/>
  </cols>
  <sheetData>
    <row r="1" spans="2:16" ht="5.25" customHeight="1"/>
    <row r="2" spans="2:16" ht="13.5" thickBot="1"/>
    <row r="3" spans="2:16" ht="0.95" customHeight="1" thickTop="1">
      <c r="B3" s="141"/>
      <c r="C3" s="142"/>
      <c r="D3" s="142"/>
      <c r="E3" s="142"/>
      <c r="F3" s="142"/>
      <c r="G3" s="142"/>
      <c r="H3" s="142"/>
      <c r="I3" s="142"/>
      <c r="J3" s="142"/>
      <c r="K3" s="142"/>
      <c r="L3" s="142"/>
      <c r="M3" s="142"/>
      <c r="N3" s="142"/>
      <c r="O3" s="142"/>
      <c r="P3" s="143"/>
    </row>
    <row r="4" spans="2:16">
      <c r="B4" s="144"/>
      <c r="C4" s="145"/>
      <c r="D4" s="145"/>
      <c r="E4" s="145"/>
      <c r="F4" s="145"/>
      <c r="G4" s="145"/>
      <c r="H4" s="145"/>
      <c r="I4" s="145"/>
      <c r="J4" s="145"/>
      <c r="K4" s="145"/>
      <c r="L4" s="145"/>
      <c r="M4" s="145"/>
      <c r="N4" s="145"/>
      <c r="O4" s="145"/>
      <c r="P4" s="146"/>
    </row>
    <row r="5" spans="2:16">
      <c r="B5" s="144"/>
      <c r="C5" s="145"/>
      <c r="D5" s="145"/>
      <c r="E5" s="145"/>
      <c r="F5" s="145"/>
      <c r="G5" s="145"/>
      <c r="H5" s="145"/>
      <c r="I5" s="145"/>
      <c r="J5" s="145"/>
      <c r="K5" s="145"/>
      <c r="L5" s="147"/>
      <c r="M5" s="145"/>
      <c r="N5" s="145"/>
      <c r="O5" s="145"/>
      <c r="P5" s="146"/>
    </row>
    <row r="6" spans="2:16">
      <c r="B6" s="144"/>
      <c r="C6" s="145"/>
      <c r="D6" s="205" t="s">
        <v>123</v>
      </c>
      <c r="E6" s="205"/>
      <c r="F6" s="205"/>
      <c r="G6" s="205"/>
      <c r="H6" s="205"/>
      <c r="I6" s="205"/>
      <c r="J6" s="205"/>
      <c r="K6" s="205"/>
      <c r="L6" s="206"/>
      <c r="M6" s="205"/>
      <c r="N6" s="205"/>
      <c r="O6" s="145"/>
      <c r="P6" s="146"/>
    </row>
    <row r="7" spans="2:16">
      <c r="B7" s="144"/>
      <c r="C7" s="145"/>
      <c r="D7" s="145"/>
      <c r="E7" s="145"/>
      <c r="F7" s="145"/>
      <c r="G7" s="145"/>
      <c r="H7" s="145"/>
      <c r="I7" s="145"/>
      <c r="J7" s="145"/>
      <c r="K7" s="145"/>
      <c r="L7" s="147"/>
      <c r="M7" s="145"/>
      <c r="N7" s="145"/>
      <c r="O7" s="145"/>
      <c r="P7" s="146"/>
    </row>
    <row r="8" spans="2:16" ht="13.5" thickBot="1">
      <c r="B8" s="144"/>
      <c r="C8" s="145"/>
      <c r="D8" s="145"/>
      <c r="E8" s="145"/>
      <c r="F8" s="145"/>
      <c r="G8" s="145"/>
      <c r="H8" s="145"/>
      <c r="I8" s="145"/>
      <c r="J8" s="145"/>
      <c r="K8" s="145"/>
      <c r="L8" s="147"/>
      <c r="M8" s="145"/>
      <c r="N8" s="145"/>
      <c r="O8" s="145"/>
      <c r="P8" s="146"/>
    </row>
    <row r="9" spans="2:16" ht="3" customHeight="1" thickTop="1">
      <c r="B9" s="144"/>
      <c r="C9" s="145"/>
      <c r="D9" s="148"/>
      <c r="E9" s="148"/>
      <c r="F9" s="148"/>
      <c r="G9" s="148"/>
      <c r="H9" s="148"/>
      <c r="I9" s="148"/>
      <c r="J9" s="148"/>
      <c r="K9" s="148"/>
      <c r="L9" s="149"/>
      <c r="M9" s="148"/>
      <c r="N9" s="148"/>
      <c r="O9" s="145"/>
      <c r="P9" s="146"/>
    </row>
    <row r="10" spans="2:16">
      <c r="B10" s="144"/>
      <c r="C10" s="145"/>
      <c r="D10" s="145"/>
      <c r="E10" s="145"/>
      <c r="F10" s="145"/>
      <c r="G10" s="145"/>
      <c r="H10" s="145"/>
      <c r="I10" s="145"/>
      <c r="J10" s="145"/>
      <c r="K10" s="145"/>
      <c r="L10" s="147"/>
      <c r="M10" s="145"/>
      <c r="N10" s="145"/>
      <c r="O10" s="145"/>
      <c r="P10" s="146"/>
    </row>
    <row r="11" spans="2:16">
      <c r="B11" s="144"/>
      <c r="C11" s="145"/>
      <c r="D11" s="145"/>
      <c r="E11" s="145"/>
      <c r="F11" s="145"/>
      <c r="G11" s="145"/>
      <c r="H11" s="145"/>
      <c r="I11" s="145"/>
      <c r="J11" s="145"/>
      <c r="K11" s="145"/>
      <c r="L11" s="147"/>
      <c r="M11" s="145"/>
      <c r="N11" s="145"/>
      <c r="O11" s="145"/>
      <c r="P11" s="146"/>
    </row>
    <row r="12" spans="2:16">
      <c r="B12" s="144"/>
      <c r="C12" s="145"/>
      <c r="D12" s="145"/>
      <c r="E12" s="145"/>
      <c r="F12" s="145"/>
      <c r="G12" s="145"/>
      <c r="H12" s="145"/>
      <c r="I12" s="145"/>
      <c r="J12" s="145"/>
      <c r="K12" s="145"/>
      <c r="L12" s="147"/>
      <c r="M12" s="145"/>
      <c r="N12" s="145"/>
      <c r="O12" s="145"/>
      <c r="P12" s="146"/>
    </row>
    <row r="13" spans="2:16">
      <c r="B13" s="150"/>
      <c r="C13" s="151"/>
      <c r="D13" s="151"/>
      <c r="E13" s="151"/>
      <c r="F13" s="151"/>
      <c r="G13" s="151"/>
      <c r="H13" s="151"/>
      <c r="I13" s="151"/>
      <c r="J13" s="151"/>
      <c r="K13" s="151"/>
      <c r="L13" s="152"/>
      <c r="M13" s="151"/>
      <c r="N13" s="151"/>
      <c r="O13" s="151"/>
      <c r="P13" s="153"/>
    </row>
    <row r="14" spans="2:16">
      <c r="B14" s="150"/>
      <c r="C14" s="151"/>
      <c r="D14" s="151"/>
      <c r="E14" s="151"/>
      <c r="F14" s="151"/>
      <c r="G14" s="154"/>
      <c r="H14" s="154"/>
      <c r="I14" s="151"/>
      <c r="J14" s="151"/>
      <c r="K14" s="151"/>
      <c r="L14" s="152"/>
      <c r="M14" s="151"/>
      <c r="N14" s="151"/>
      <c r="O14" s="151"/>
      <c r="P14" s="153"/>
    </row>
    <row r="15" spans="2:16" ht="15.75">
      <c r="B15" s="150"/>
      <c r="C15" s="151"/>
      <c r="D15" s="151"/>
      <c r="E15" s="151"/>
      <c r="F15" s="151"/>
      <c r="G15" s="154"/>
      <c r="H15" s="154"/>
      <c r="I15" s="151"/>
      <c r="J15" s="151"/>
      <c r="K15" s="151"/>
      <c r="L15" s="152"/>
      <c r="M15" s="155"/>
      <c r="N15" s="151"/>
      <c r="O15" s="151"/>
      <c r="P15" s="153"/>
    </row>
    <row r="16" spans="2:16">
      <c r="B16" s="150"/>
      <c r="C16" s="151"/>
      <c r="D16" s="151"/>
      <c r="E16" s="151"/>
      <c r="F16" s="151"/>
      <c r="G16" s="154"/>
      <c r="H16" s="154"/>
      <c r="I16" s="151"/>
      <c r="J16" s="151"/>
      <c r="K16" s="151"/>
      <c r="L16" s="156"/>
      <c r="M16" s="151"/>
      <c r="N16" s="151"/>
      <c r="O16" s="151"/>
      <c r="P16" s="153"/>
    </row>
    <row r="17" spans="2:16">
      <c r="B17" s="150"/>
      <c r="C17" s="151"/>
      <c r="D17" s="151"/>
      <c r="E17" s="151"/>
      <c r="F17" s="151"/>
      <c r="G17" s="154"/>
      <c r="H17" s="154"/>
      <c r="I17" s="151"/>
      <c r="J17" s="151"/>
      <c r="K17" s="151"/>
      <c r="L17" s="151"/>
      <c r="M17" s="151"/>
      <c r="N17" s="151"/>
      <c r="O17" s="151"/>
      <c r="P17" s="153"/>
    </row>
    <row r="18" spans="2:16">
      <c r="B18" s="150"/>
      <c r="C18" s="151"/>
      <c r="D18" s="151"/>
      <c r="E18" s="151"/>
      <c r="F18" s="151"/>
      <c r="G18" s="151"/>
      <c r="H18" s="151"/>
      <c r="I18" s="151"/>
      <c r="J18" s="151"/>
      <c r="K18" s="151"/>
      <c r="L18" s="151"/>
      <c r="M18" s="151"/>
      <c r="N18" s="151"/>
      <c r="O18" s="151"/>
      <c r="P18" s="153"/>
    </row>
    <row r="19" spans="2:16">
      <c r="B19" s="150"/>
      <c r="C19" s="151"/>
      <c r="D19" s="151"/>
      <c r="E19" s="151"/>
      <c r="F19" s="151"/>
      <c r="G19" s="151"/>
      <c r="H19" s="151"/>
      <c r="I19" s="151"/>
      <c r="J19" s="151"/>
      <c r="K19" s="151"/>
      <c r="L19" s="151"/>
      <c r="M19" s="151"/>
      <c r="N19" s="151"/>
      <c r="O19" s="151"/>
      <c r="P19" s="153"/>
    </row>
    <row r="20" spans="2:16">
      <c r="B20" s="150"/>
      <c r="C20" s="151"/>
      <c r="D20" s="151"/>
      <c r="E20" s="151"/>
      <c r="F20" s="151"/>
      <c r="G20" s="151"/>
      <c r="H20" s="151"/>
      <c r="I20" s="151"/>
      <c r="J20" s="151"/>
      <c r="K20" s="151"/>
      <c r="L20" s="151"/>
      <c r="M20" s="151"/>
      <c r="N20" s="151"/>
      <c r="O20" s="151"/>
      <c r="P20" s="153"/>
    </row>
    <row r="21" spans="2:16">
      <c r="B21" s="150"/>
      <c r="C21" s="151"/>
      <c r="D21" s="151"/>
      <c r="E21" s="151"/>
      <c r="F21" s="151"/>
      <c r="G21" s="151"/>
      <c r="H21" s="151"/>
      <c r="I21" s="151"/>
      <c r="J21" s="151"/>
      <c r="K21" s="151"/>
      <c r="L21" s="151"/>
      <c r="M21" s="151"/>
      <c r="N21" s="151"/>
      <c r="O21" s="151"/>
      <c r="P21" s="153"/>
    </row>
    <row r="22" spans="2:16">
      <c r="B22" s="150"/>
      <c r="C22" s="151"/>
      <c r="D22" s="151"/>
      <c r="E22" s="151"/>
      <c r="F22" s="151"/>
      <c r="G22" s="151"/>
      <c r="H22" s="151"/>
      <c r="I22" s="151"/>
      <c r="J22" s="151"/>
      <c r="K22" s="151"/>
      <c r="L22" s="151"/>
      <c r="M22" s="151"/>
      <c r="N22" s="151"/>
      <c r="O22" s="151"/>
      <c r="P22" s="153"/>
    </row>
    <row r="23" spans="2:16">
      <c r="B23" s="150"/>
      <c r="C23" s="151"/>
      <c r="D23" s="151"/>
      <c r="E23" s="151"/>
      <c r="F23" s="151"/>
      <c r="G23" s="151"/>
      <c r="H23" s="151"/>
      <c r="I23" s="151"/>
      <c r="J23" s="151"/>
      <c r="K23" s="151"/>
      <c r="L23" s="151"/>
      <c r="M23" s="151"/>
      <c r="N23" s="151"/>
      <c r="O23" s="151"/>
      <c r="P23" s="153"/>
    </row>
    <row r="24" spans="2:16">
      <c r="B24" s="150"/>
      <c r="C24" s="151"/>
      <c r="D24" s="151"/>
      <c r="E24" s="151"/>
      <c r="F24" s="151"/>
      <c r="G24" s="151"/>
      <c r="H24" s="151"/>
      <c r="I24" s="151"/>
      <c r="J24" s="151"/>
      <c r="K24" s="151"/>
      <c r="L24" s="151"/>
      <c r="M24" s="151"/>
      <c r="N24" s="151"/>
      <c r="O24" s="151"/>
      <c r="P24" s="153"/>
    </row>
    <row r="25" spans="2:16">
      <c r="B25" s="150"/>
      <c r="C25" s="151"/>
      <c r="D25" s="151"/>
      <c r="E25" s="151"/>
      <c r="F25" s="151"/>
      <c r="G25" s="151"/>
      <c r="H25" s="151"/>
      <c r="I25" s="151"/>
      <c r="J25" s="151"/>
      <c r="K25" s="151"/>
      <c r="L25" s="151"/>
      <c r="M25" s="151"/>
      <c r="N25" s="151"/>
      <c r="O25" s="151"/>
      <c r="P25" s="153"/>
    </row>
    <row r="26" spans="2:16">
      <c r="B26" s="150"/>
      <c r="C26" s="151"/>
      <c r="D26" s="151"/>
      <c r="E26" s="151"/>
      <c r="F26" s="151"/>
      <c r="G26" s="151"/>
      <c r="H26" s="151"/>
      <c r="I26" s="151"/>
      <c r="J26" s="151"/>
      <c r="K26" s="151"/>
      <c r="L26" s="151"/>
      <c r="M26" s="151"/>
      <c r="N26" s="151"/>
      <c r="O26" s="151"/>
      <c r="P26" s="153"/>
    </row>
    <row r="27" spans="2:16">
      <c r="B27" s="150"/>
      <c r="C27" s="151"/>
      <c r="D27" s="151"/>
      <c r="E27" s="151"/>
      <c r="F27" s="151"/>
      <c r="G27" s="151"/>
      <c r="H27" s="151"/>
      <c r="I27" s="151"/>
      <c r="J27" s="151"/>
      <c r="K27" s="151"/>
      <c r="L27" s="151"/>
      <c r="M27" s="151"/>
      <c r="N27" s="151"/>
      <c r="O27" s="151"/>
      <c r="P27" s="153"/>
    </row>
    <row r="28" spans="2:16">
      <c r="B28" s="150"/>
      <c r="C28" s="151"/>
      <c r="D28" s="151"/>
      <c r="E28" s="151"/>
      <c r="F28" s="151"/>
      <c r="G28" s="151"/>
      <c r="H28" s="151"/>
      <c r="I28" s="151"/>
      <c r="J28" s="151"/>
      <c r="K28" s="151"/>
      <c r="L28" s="151"/>
      <c r="M28" s="151"/>
      <c r="N28" s="151"/>
      <c r="O28" s="151"/>
      <c r="P28" s="153"/>
    </row>
    <row r="29" spans="2:16">
      <c r="B29" s="150"/>
      <c r="C29" s="151"/>
      <c r="D29" s="151"/>
      <c r="E29" s="151"/>
      <c r="F29" s="151"/>
      <c r="G29" s="151"/>
      <c r="H29" s="151"/>
      <c r="I29" s="151"/>
      <c r="J29" s="151"/>
      <c r="K29" s="151"/>
      <c r="L29" s="151"/>
      <c r="M29" s="151"/>
      <c r="N29" s="151"/>
      <c r="O29" s="151"/>
      <c r="P29" s="153"/>
    </row>
    <row r="30" spans="2:16">
      <c r="B30" s="150"/>
      <c r="C30" s="151"/>
      <c r="D30" s="151"/>
      <c r="E30" s="151"/>
      <c r="F30" s="151"/>
      <c r="G30" s="151"/>
      <c r="H30" s="151"/>
      <c r="I30" s="151"/>
      <c r="J30" s="151"/>
      <c r="K30" s="151"/>
      <c r="L30" s="151"/>
      <c r="M30" s="151"/>
      <c r="N30" s="151"/>
      <c r="O30" s="151"/>
      <c r="P30" s="153"/>
    </row>
    <row r="31" spans="2:16">
      <c r="B31" s="150"/>
      <c r="C31" s="151"/>
      <c r="D31" s="151"/>
      <c r="E31" s="151"/>
      <c r="F31" s="151"/>
      <c r="G31" s="151"/>
      <c r="H31" s="151"/>
      <c r="I31" s="151"/>
      <c r="J31" s="151"/>
      <c r="K31" s="151"/>
      <c r="L31" s="151"/>
      <c r="M31" s="151"/>
      <c r="N31" s="151"/>
      <c r="O31" s="151"/>
      <c r="P31" s="153"/>
    </row>
    <row r="32" spans="2:16">
      <c r="B32" s="150"/>
      <c r="C32" s="151"/>
      <c r="D32" s="151"/>
      <c r="E32" s="151"/>
      <c r="F32" s="151"/>
      <c r="G32" s="151"/>
      <c r="H32" s="151"/>
      <c r="I32" s="151"/>
      <c r="J32" s="151"/>
      <c r="K32" s="151"/>
      <c r="L32" s="151"/>
      <c r="M32" s="151"/>
      <c r="N32" s="151"/>
      <c r="O32" s="151"/>
      <c r="P32" s="153"/>
    </row>
    <row r="33" spans="2:16" ht="13.5" thickBot="1">
      <c r="B33" s="150"/>
      <c r="C33" s="151"/>
      <c r="D33" s="151"/>
      <c r="E33" s="151"/>
      <c r="F33" s="151"/>
      <c r="G33" s="151"/>
      <c r="H33" s="151"/>
      <c r="I33" s="151"/>
      <c r="J33" s="151"/>
      <c r="K33" s="151"/>
      <c r="L33" s="151"/>
      <c r="M33" s="151"/>
      <c r="N33" s="151"/>
      <c r="O33" s="151"/>
      <c r="P33" s="153"/>
    </row>
    <row r="34" spans="2:16" ht="3" customHeight="1" thickTop="1">
      <c r="B34" s="150"/>
      <c r="C34" s="151"/>
      <c r="D34" s="157"/>
      <c r="E34" s="157"/>
      <c r="F34" s="157"/>
      <c r="G34" s="157"/>
      <c r="H34" s="157"/>
      <c r="I34" s="157"/>
      <c r="J34" s="157"/>
      <c r="K34" s="157"/>
      <c r="L34" s="157"/>
      <c r="M34" s="157"/>
      <c r="N34" s="157"/>
      <c r="O34" s="151"/>
      <c r="P34" s="153"/>
    </row>
    <row r="35" spans="2:16">
      <c r="B35" s="150"/>
      <c r="C35" s="151"/>
      <c r="D35" s="151"/>
      <c r="E35" s="151"/>
      <c r="F35" s="151"/>
      <c r="G35" s="151"/>
      <c r="H35" s="151"/>
      <c r="I35" s="151"/>
      <c r="J35" s="151"/>
      <c r="K35" s="151"/>
      <c r="L35" s="151"/>
      <c r="M35" s="151"/>
      <c r="N35" s="151"/>
      <c r="O35" s="151"/>
      <c r="P35" s="153"/>
    </row>
    <row r="36" spans="2:16">
      <c r="B36" s="150"/>
      <c r="C36" s="151"/>
      <c r="D36" s="214"/>
      <c r="E36" s="215"/>
      <c r="F36" s="215"/>
      <c r="G36" s="215"/>
      <c r="H36" s="215"/>
      <c r="I36" s="215"/>
      <c r="J36" s="215"/>
      <c r="K36" s="215"/>
      <c r="L36" s="215"/>
      <c r="M36" s="215"/>
      <c r="N36" s="215"/>
      <c r="O36" s="151"/>
      <c r="P36" s="153"/>
    </row>
    <row r="37" spans="2:16">
      <c r="B37" s="150"/>
      <c r="C37" s="151"/>
      <c r="D37" s="151"/>
      <c r="E37" s="151"/>
      <c r="F37" s="151"/>
      <c r="G37" s="151"/>
      <c r="H37" s="151"/>
      <c r="I37" s="151"/>
      <c r="J37" s="151"/>
      <c r="K37" s="151"/>
      <c r="L37" s="151"/>
      <c r="M37" s="151"/>
      <c r="N37" s="151"/>
      <c r="O37" s="151"/>
      <c r="P37" s="153"/>
    </row>
    <row r="38" spans="2:16">
      <c r="B38" s="150"/>
      <c r="C38" s="151"/>
      <c r="D38" s="151"/>
      <c r="E38" s="151"/>
      <c r="F38" s="151"/>
      <c r="G38" s="151"/>
      <c r="H38" s="151"/>
      <c r="I38" s="151"/>
      <c r="J38" s="151"/>
      <c r="K38" s="151"/>
      <c r="L38" s="151"/>
      <c r="M38" s="151"/>
      <c r="N38" s="151"/>
      <c r="O38" s="151"/>
      <c r="P38" s="153"/>
    </row>
    <row r="39" spans="2:16" ht="0.95" customHeight="1" thickBot="1">
      <c r="B39" s="158"/>
      <c r="C39" s="159"/>
      <c r="D39" s="159"/>
      <c r="E39" s="159"/>
      <c r="F39" s="159"/>
      <c r="G39" s="159"/>
      <c r="H39" s="159"/>
      <c r="I39" s="159"/>
      <c r="J39" s="159"/>
      <c r="K39" s="159"/>
      <c r="L39" s="159"/>
      <c r="M39" s="159"/>
      <c r="N39" s="159"/>
      <c r="O39" s="159"/>
      <c r="P39" s="160"/>
    </row>
    <row r="40" spans="2:16" ht="13.5" thickTop="1"/>
  </sheetData>
  <mergeCells count="1">
    <mergeCell ref="D36:N36"/>
  </mergeCells>
  <phoneticPr fontId="3" type="noConversion"/>
  <printOptions horizontalCentered="1"/>
  <pageMargins left="0.75" right="0.75" top="1" bottom="1" header="0.5" footer="0.5"/>
  <pageSetup scale="71"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065763E-58C7-4903-A85F-6663BCD2ED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154</vt:i4>
      </vt:variant>
    </vt:vector>
  </HeadingPairs>
  <TitlesOfParts>
    <vt:vector size="162" baseType="lpstr">
      <vt:lpstr>Data Entry</vt:lpstr>
      <vt:lpstr>Income Statement</vt:lpstr>
      <vt:lpstr>Balance Sheet</vt:lpstr>
      <vt:lpstr>Cash Flow Statement</vt:lpstr>
      <vt:lpstr>Cash Flow Projections</vt:lpstr>
      <vt:lpstr>Data Chart</vt:lpstr>
      <vt:lpstr>Asset Chart</vt:lpstr>
      <vt:lpstr>Income Chart</vt:lpstr>
      <vt:lpstr>data100</vt:lpstr>
      <vt:lpstr>data101</vt:lpstr>
      <vt:lpstr>data102</vt:lpstr>
      <vt:lpstr>data103</vt:lpstr>
      <vt:lpstr>data104</vt:lpstr>
      <vt:lpstr>data105</vt:lpstr>
      <vt:lpstr>data106</vt:lpstr>
      <vt:lpstr>data107</vt:lpstr>
      <vt:lpstr>data108</vt:lpstr>
      <vt:lpstr>data109</vt:lpstr>
      <vt:lpstr>data10ab</vt:lpstr>
      <vt:lpstr>data110</vt:lpstr>
      <vt:lpstr>data111</vt:lpstr>
      <vt:lpstr>data112</vt:lpstr>
      <vt:lpstr>data113</vt:lpstr>
      <vt:lpstr>data114</vt:lpstr>
      <vt:lpstr>data115</vt:lpstr>
      <vt:lpstr>data116</vt:lpstr>
      <vt:lpstr>data117</vt:lpstr>
      <vt:lpstr>data118</vt:lpstr>
      <vt:lpstr>data119</vt:lpstr>
      <vt:lpstr>data11ab</vt:lpstr>
      <vt:lpstr>data120</vt:lpstr>
      <vt:lpstr>data121</vt:lpstr>
      <vt:lpstr>data122</vt:lpstr>
      <vt:lpstr>data123</vt:lpstr>
      <vt:lpstr>data124</vt:lpstr>
      <vt:lpstr>data125</vt:lpstr>
      <vt:lpstr>data126</vt:lpstr>
      <vt:lpstr>data127</vt:lpstr>
      <vt:lpstr>data128</vt:lpstr>
      <vt:lpstr>data129</vt:lpstr>
      <vt:lpstr>data12ab</vt:lpstr>
      <vt:lpstr>data130</vt:lpstr>
      <vt:lpstr>data131</vt:lpstr>
      <vt:lpstr>data132</vt:lpstr>
      <vt:lpstr>data133</vt:lpstr>
      <vt:lpstr>data134</vt:lpstr>
      <vt:lpstr>data135</vt:lpstr>
      <vt:lpstr>data136</vt:lpstr>
      <vt:lpstr>data137</vt:lpstr>
      <vt:lpstr>data138</vt:lpstr>
      <vt:lpstr>data139</vt:lpstr>
      <vt:lpstr>data13ab</vt:lpstr>
      <vt:lpstr>data14ab</vt:lpstr>
      <vt:lpstr>data15ab</vt:lpstr>
      <vt:lpstr>data16ab</vt:lpstr>
      <vt:lpstr>data17ab</vt:lpstr>
      <vt:lpstr>data18ab</vt:lpstr>
      <vt:lpstr>data19ab</vt:lpstr>
      <vt:lpstr>data1ab</vt:lpstr>
      <vt:lpstr>data20ab</vt:lpstr>
      <vt:lpstr>data21ab</vt:lpstr>
      <vt:lpstr>data22ab</vt:lpstr>
      <vt:lpstr>data23ab</vt:lpstr>
      <vt:lpstr>data24ab</vt:lpstr>
      <vt:lpstr>data25ab</vt:lpstr>
      <vt:lpstr>data26</vt:lpstr>
      <vt:lpstr>data27</vt:lpstr>
      <vt:lpstr>data28</vt:lpstr>
      <vt:lpstr>data29</vt:lpstr>
      <vt:lpstr>data2ab</vt:lpstr>
      <vt:lpstr>data30</vt:lpstr>
      <vt:lpstr>data31</vt:lpstr>
      <vt:lpstr>data32</vt:lpstr>
      <vt:lpstr>data33</vt:lpstr>
      <vt:lpstr>data34</vt:lpstr>
      <vt:lpstr>data35</vt:lpstr>
      <vt:lpstr>data36</vt:lpstr>
      <vt:lpstr>data37</vt:lpstr>
      <vt:lpstr>data38</vt:lpstr>
      <vt:lpstr>data39</vt:lpstr>
      <vt:lpstr>data3ab</vt:lpstr>
      <vt:lpstr>data40</vt:lpstr>
      <vt:lpstr>data41</vt:lpstr>
      <vt:lpstr>data42</vt:lpstr>
      <vt:lpstr>data43</vt:lpstr>
      <vt:lpstr>data44</vt:lpstr>
      <vt:lpstr>data45</vt:lpstr>
      <vt:lpstr>data46</vt:lpstr>
      <vt:lpstr>data47</vt:lpstr>
      <vt:lpstr>data48</vt:lpstr>
      <vt:lpstr>data49</vt:lpstr>
      <vt:lpstr>data4ab</vt:lpstr>
      <vt:lpstr>data50</vt:lpstr>
      <vt:lpstr>data51</vt:lpstr>
      <vt:lpstr>data52</vt:lpstr>
      <vt:lpstr>data53</vt:lpstr>
      <vt:lpstr>data54</vt:lpstr>
      <vt:lpstr>data55</vt:lpstr>
      <vt:lpstr>data56</vt:lpstr>
      <vt:lpstr>data57</vt:lpstr>
      <vt:lpstr>data58</vt:lpstr>
      <vt:lpstr>data59</vt:lpstr>
      <vt:lpstr>data5ab</vt:lpstr>
      <vt:lpstr>data60</vt:lpstr>
      <vt:lpstr>data61</vt:lpstr>
      <vt:lpstr>data62</vt:lpstr>
      <vt:lpstr>data63</vt:lpstr>
      <vt:lpstr>data64</vt:lpstr>
      <vt:lpstr>data65</vt:lpstr>
      <vt:lpstr>data66</vt:lpstr>
      <vt:lpstr>data67</vt:lpstr>
      <vt:lpstr>data68</vt:lpstr>
      <vt:lpstr>data69</vt:lpstr>
      <vt:lpstr>data6ab</vt:lpstr>
      <vt:lpstr>data70</vt:lpstr>
      <vt:lpstr>data71</vt:lpstr>
      <vt:lpstr>data72</vt:lpstr>
      <vt:lpstr>data73</vt:lpstr>
      <vt:lpstr>data74</vt:lpstr>
      <vt:lpstr>data75</vt:lpstr>
      <vt:lpstr>data76</vt:lpstr>
      <vt:lpstr>data77</vt:lpstr>
      <vt:lpstr>data78</vt:lpstr>
      <vt:lpstr>data79</vt:lpstr>
      <vt:lpstr>data7ab</vt:lpstr>
      <vt:lpstr>data80</vt:lpstr>
      <vt:lpstr>data81</vt:lpstr>
      <vt:lpstr>data82</vt:lpstr>
      <vt:lpstr>data83</vt:lpstr>
      <vt:lpstr>data84</vt:lpstr>
      <vt:lpstr>data85</vt:lpstr>
      <vt:lpstr>data86</vt:lpstr>
      <vt:lpstr>data87</vt:lpstr>
      <vt:lpstr>data88</vt:lpstr>
      <vt:lpstr>data89</vt:lpstr>
      <vt:lpstr>data8ab</vt:lpstr>
      <vt:lpstr>data90</vt:lpstr>
      <vt:lpstr>data91</vt:lpstr>
      <vt:lpstr>data92</vt:lpstr>
      <vt:lpstr>data93</vt:lpstr>
      <vt:lpstr>data94</vt:lpstr>
      <vt:lpstr>data95</vt:lpstr>
      <vt:lpstr>data96</vt:lpstr>
      <vt:lpstr>data97</vt:lpstr>
      <vt:lpstr>data98</vt:lpstr>
      <vt:lpstr>data99</vt:lpstr>
      <vt:lpstr>data9ab</vt:lpstr>
      <vt:lpstr>display_area_2</vt:lpstr>
      <vt:lpstr>display_area_3</vt:lpstr>
      <vt:lpstr>display_area_4</vt:lpstr>
      <vt:lpstr>display_area_5</vt:lpstr>
      <vt:lpstr>display_area_6</vt:lpstr>
      <vt:lpstr>display_area_7</vt:lpstr>
      <vt:lpstr>display_area_8</vt:lpstr>
      <vt:lpstr>'Asset Chart'!Print_Area</vt:lpstr>
      <vt:lpstr>'Balance Sheet'!Print_Area</vt:lpstr>
      <vt:lpstr>'Cash Flow Projections'!Print_Area</vt:lpstr>
      <vt:lpstr>'Cash Flow Statement'!Print_Area</vt:lpstr>
      <vt:lpstr>'Data Chart'!Print_Area</vt:lpstr>
      <vt:lpstr>'Data Entry'!Print_Area</vt:lpstr>
      <vt:lpstr>'Income Chart'!Print_Area</vt:lpstr>
      <vt:lpstr>'Income Statement'!Print_Area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2014-10-25T21:16:34Z</dcterms:created>
  <dcterms:modified xsi:type="dcterms:W3CDTF">2014-10-25T21:16:35Z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TC018775829991</vt:lpwstr>
  </property>
</Properties>
</file>